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tables/table10.xml" ContentType="application/vnd.openxmlformats-officedocument.spreadsheetml.table+xml"/>
  <Override PartName="/xl/drawings/drawing2.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3.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66925"/>
  <mc:AlternateContent xmlns:mc="http://schemas.openxmlformats.org/markup-compatibility/2006">
    <mc:Choice Requires="x15">
      <x15ac:absPath xmlns:x15ac="http://schemas.microsoft.com/office/spreadsheetml/2010/11/ac" url="C:\Users\ssalom\Desktop\"/>
    </mc:Choice>
  </mc:AlternateContent>
  <xr:revisionPtr revIDLastSave="0" documentId="8_{8A8C4C7E-A2F1-4E3A-80C6-E70707C290F9}" xr6:coauthVersionLast="47" xr6:coauthVersionMax="47" xr10:uidLastSave="{00000000-0000-0000-0000-000000000000}"/>
  <bookViews>
    <workbookView xWindow="28680" yWindow="-120" windowWidth="51840" windowHeight="21120" tabRatio="946" xr2:uid="{6AB5B5FC-BEC3-4EEF-A95E-06EE740F333B}"/>
  </bookViews>
  <sheets>
    <sheet name="Alusta siit" sheetId="25" r:id="rId1"/>
    <sheet name="Taimekasvatus" sheetId="12" r:id="rId2"/>
    <sheet name="Loomakasvatus" sheetId="23" r:id="rId3"/>
    <sheet name="Tugitegevused" sheetId="13" r:id="rId4"/>
    <sheet name="Ettevõttepõhine jalajälg" sheetId="14" r:id="rId5"/>
    <sheet name="Tootepõhine jalajälg" sheetId="24" r:id="rId6"/>
    <sheet name="Ettev_kalk" sheetId="1" state="hidden" r:id="rId7"/>
    <sheet name="Tootep_kalk" sheetId="27" state="hidden" r:id="rId8"/>
    <sheet name="C-sidumine" sheetId="19" state="hidden" r:id="rId9"/>
    <sheet name="C-taust" sheetId="20" state="hidden" r:id="rId10"/>
    <sheet name="SelgroogK" sheetId="4" state="hidden" r:id="rId11"/>
    <sheet name="M1 - TK" sheetId="2" state="hidden" r:id="rId12"/>
    <sheet name="M1 - LK" sheetId="9" state="hidden" r:id="rId13"/>
    <sheet name="EFid TK" sheetId="7" state="hidden" r:id="rId14"/>
    <sheet name="EFid" sheetId="8" state="hidden" r:id="rId15"/>
    <sheet name="Versioonide ajalugu" sheetId="35" r:id="rId16"/>
    <sheet name="Skeemid, loomakasvatuse arvutus" sheetId="29" r:id="rId17"/>
    <sheet name="Loomakasvatuse arvutused" sheetId="30" r:id="rId18"/>
    <sheet name="Taimekasvatuse arvutused" sheetId="31" r:id="rId19"/>
    <sheet name="Taimekasvatuse mõjuala 3" sheetId="32" r:id="rId20"/>
    <sheet name="Loomakasvatuse mõjuala 3" sheetId="33" r:id="rId21"/>
    <sheet name="Tugitegevus, energia, kütus jmt" sheetId="34" r:id="rId22"/>
  </sheets>
  <definedNames>
    <definedName name="para9lg1" localSheetId="17">'Loomakasvatuse arvutused'!$C$78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6" i="1" l="1" a="1"/>
  <c r="G106" i="1" s="1"/>
  <c r="DQ14" i="1"/>
  <c r="BW39" i="1" l="1"/>
  <c r="BZ39" i="1" s="1"/>
  <c r="BX39" i="1"/>
  <c r="BY39" i="1"/>
  <c r="BW40" i="1"/>
  <c r="BZ40" i="1" s="1"/>
  <c r="BX40" i="1"/>
  <c r="BY40" i="1"/>
  <c r="BW41" i="1"/>
  <c r="BZ41" i="1" s="1"/>
  <c r="BX41" i="1"/>
  <c r="BY41" i="1"/>
  <c r="BW42" i="1"/>
  <c r="BZ42" i="1" s="1"/>
  <c r="BX42" i="1"/>
  <c r="BY42" i="1"/>
  <c r="BW43" i="1"/>
  <c r="BZ43" i="1" s="1"/>
  <c r="BX43" i="1"/>
  <c r="BY43" i="1"/>
  <c r="BW44" i="1"/>
  <c r="BZ44" i="1" s="1"/>
  <c r="BX44" i="1"/>
  <c r="BY44" i="1"/>
  <c r="BW45" i="1"/>
  <c r="BZ45" i="1" s="1"/>
  <c r="BX45" i="1"/>
  <c r="BY45" i="1"/>
  <c r="BW46" i="1"/>
  <c r="BZ46" i="1" s="1"/>
  <c r="BX46" i="1"/>
  <c r="BY46" i="1"/>
  <c r="BW47" i="1"/>
  <c r="BX47" i="1"/>
  <c r="BY47" i="1"/>
  <c r="BW48" i="1"/>
  <c r="BZ48" i="1" s="1"/>
  <c r="BX48" i="1"/>
  <c r="BY48" i="1"/>
  <c r="BW49" i="1"/>
  <c r="BX49" i="1"/>
  <c r="BY49" i="1"/>
  <c r="BW50" i="1"/>
  <c r="BZ50" i="1" s="1"/>
  <c r="BX50" i="1"/>
  <c r="BY50" i="1"/>
  <c r="BZ47" i="1"/>
  <c r="BZ49" i="1"/>
  <c r="BQ40" i="1"/>
  <c r="BQ41" i="1"/>
  <c r="BQ42" i="1"/>
  <c r="BQ43" i="1"/>
  <c r="BQ44" i="1"/>
  <c r="BQ45" i="1"/>
  <c r="BQ46" i="1"/>
  <c r="BQ47" i="1"/>
  <c r="BQ49" i="1"/>
  <c r="BQ50" i="1"/>
  <c r="BQ51" i="1"/>
  <c r="BQ52" i="1"/>
  <c r="BQ53" i="1"/>
  <c r="BR41" i="1"/>
  <c r="BR42" i="1"/>
  <c r="BR43" i="1"/>
  <c r="BR44" i="1"/>
  <c r="BR45" i="1"/>
  <c r="BR46" i="1"/>
  <c r="BR47" i="1"/>
  <c r="BR48" i="1"/>
  <c r="BR49" i="1"/>
  <c r="BR50" i="1"/>
  <c r="BR51" i="1"/>
  <c r="BR52" i="1"/>
  <c r="BR53" i="1"/>
  <c r="BP48" i="1"/>
  <c r="BP49" i="1"/>
  <c r="BP50" i="1"/>
  <c r="BP51" i="1"/>
  <c r="BS51" i="1" s="1"/>
  <c r="BT51" i="1" s="1"/>
  <c r="BP52" i="1"/>
  <c r="BS52" i="1" s="1"/>
  <c r="BT52" i="1" s="1"/>
  <c r="BP53" i="1"/>
  <c r="BS53" i="1" s="1"/>
  <c r="BT53" i="1" s="1"/>
  <c r="BS49" i="1"/>
  <c r="BT49" i="1" s="1"/>
  <c r="BS50" i="1"/>
  <c r="BT50" i="1" s="1"/>
  <c r="BS48" i="1"/>
  <c r="BT48" i="1" s="1"/>
  <c r="C25" i="23" l="1"/>
  <c r="AJ25" i="23" l="1"/>
  <c r="AK25" i="23"/>
  <c r="AL25" i="23"/>
  <c r="AM25" i="23"/>
  <c r="AN25" i="23"/>
  <c r="AO25" i="23"/>
  <c r="AI25" i="23"/>
  <c r="Y25" i="23"/>
  <c r="T25" i="23"/>
  <c r="U25" i="23"/>
  <c r="V25" i="23"/>
  <c r="W25" i="23"/>
  <c r="X25" i="23"/>
  <c r="S25" i="23"/>
  <c r="D25" i="23"/>
  <c r="E25" i="23"/>
  <c r="F25" i="23"/>
  <c r="G25" i="23"/>
  <c r="H25" i="23"/>
  <c r="E230" i="1" l="1"/>
  <c r="E223" i="1"/>
  <c r="AV10" i="1"/>
  <c r="AV9" i="1"/>
  <c r="AV8" i="1"/>
  <c r="AV7" i="1"/>
  <c r="AV6" i="1"/>
  <c r="AV5" i="1"/>
  <c r="E196" i="1"/>
  <c r="E195" i="1"/>
  <c r="E434" i="1"/>
  <c r="AQ37" i="1" l="1"/>
  <c r="AR37" i="1"/>
  <c r="AP37" i="1"/>
  <c r="Z28" i="1"/>
  <c r="AA28" i="1"/>
  <c r="AB28" i="1"/>
  <c r="AC28" i="1"/>
  <c r="AD28" i="1"/>
  <c r="AE28" i="1"/>
  <c r="AF28" i="1"/>
  <c r="AG28" i="1"/>
  <c r="AH28" i="1"/>
  <c r="AI28" i="1"/>
  <c r="AJ28" i="1"/>
  <c r="AK28" i="1"/>
  <c r="AL28" i="1"/>
  <c r="AM28" i="1"/>
  <c r="AN28" i="1"/>
  <c r="AO28" i="1"/>
  <c r="Y28" i="1"/>
  <c r="E414" i="1" l="1"/>
  <c r="C13" i="33"/>
  <c r="BE238" i="27"/>
  <c r="BF238" i="27"/>
  <c r="BG238" i="27"/>
  <c r="BH238" i="27"/>
  <c r="BI238" i="27"/>
  <c r="BJ238" i="27"/>
  <c r="BK238" i="27"/>
  <c r="BL238" i="27"/>
  <c r="BM238" i="27"/>
  <c r="BN238" i="27"/>
  <c r="BO238" i="27"/>
  <c r="BD238" i="27"/>
  <c r="BK231" i="27"/>
  <c r="BL231" i="27"/>
  <c r="BM231" i="27"/>
  <c r="BN231" i="27"/>
  <c r="BO231" i="27"/>
  <c r="BJ231" i="27"/>
  <c r="BE231" i="27"/>
  <c r="BF231" i="27"/>
  <c r="BG231" i="27"/>
  <c r="BH231" i="27"/>
  <c r="BI231" i="27"/>
  <c r="BD231" i="27"/>
  <c r="AF238" i="27"/>
  <c r="AG238" i="27"/>
  <c r="AH238" i="27"/>
  <c r="AI238" i="27"/>
  <c r="AJ238" i="27"/>
  <c r="AK238" i="27"/>
  <c r="AL238" i="27"/>
  <c r="AM238" i="27"/>
  <c r="AN238" i="27"/>
  <c r="AO238" i="27"/>
  <c r="AP238" i="27"/>
  <c r="AE238" i="27"/>
  <c r="AL231" i="27"/>
  <c r="AM231" i="27"/>
  <c r="AN231" i="27"/>
  <c r="AO231" i="27"/>
  <c r="AP231" i="27"/>
  <c r="AK231" i="27"/>
  <c r="AF231" i="27"/>
  <c r="AG231" i="27"/>
  <c r="AH231" i="27"/>
  <c r="AI231" i="27"/>
  <c r="AJ231" i="27"/>
  <c r="AE231" i="27"/>
  <c r="G238" i="27"/>
  <c r="H238" i="27"/>
  <c r="I238" i="27"/>
  <c r="J238" i="27"/>
  <c r="K238" i="27"/>
  <c r="L238" i="27"/>
  <c r="M238" i="27"/>
  <c r="N238" i="27"/>
  <c r="O238" i="27"/>
  <c r="P238" i="27"/>
  <c r="Q238" i="27"/>
  <c r="F238" i="27"/>
  <c r="M231" i="27"/>
  <c r="N231" i="27"/>
  <c r="O231" i="27"/>
  <c r="P231" i="27"/>
  <c r="Q231" i="27"/>
  <c r="L231" i="27"/>
  <c r="K231" i="27"/>
  <c r="J231" i="27"/>
  <c r="I231" i="27"/>
  <c r="H231" i="27"/>
  <c r="G231" i="27"/>
  <c r="F231" i="27"/>
  <c r="I389" i="1"/>
  <c r="H389" i="1"/>
  <c r="G389" i="1"/>
  <c r="I382" i="1"/>
  <c r="H382" i="1"/>
  <c r="G382" i="1"/>
  <c r="R312" i="1"/>
  <c r="Q312" i="1"/>
  <c r="P312" i="1"/>
  <c r="O312" i="1"/>
  <c r="N312" i="1"/>
  <c r="M312" i="1"/>
  <c r="L312" i="1"/>
  <c r="K312" i="1"/>
  <c r="J312" i="1"/>
  <c r="I312" i="1"/>
  <c r="H312" i="1"/>
  <c r="G312" i="1"/>
  <c r="R305" i="1"/>
  <c r="Q305" i="1"/>
  <c r="P305" i="1"/>
  <c r="O305" i="1"/>
  <c r="N305" i="1"/>
  <c r="M305" i="1"/>
  <c r="L305" i="1"/>
  <c r="K305" i="1"/>
  <c r="J305" i="1"/>
  <c r="I305" i="1"/>
  <c r="H305" i="1"/>
  <c r="G305" i="1"/>
  <c r="I265" i="27"/>
  <c r="I266" i="27"/>
  <c r="I267" i="27"/>
  <c r="I268" i="27"/>
  <c r="I269" i="27"/>
  <c r="I270" i="27"/>
  <c r="I271" i="27"/>
  <c r="I272" i="27"/>
  <c r="I273" i="27"/>
  <c r="I274" i="27"/>
  <c r="I275" i="27"/>
  <c r="I276" i="27"/>
  <c r="I277" i="27"/>
  <c r="I264" i="27"/>
  <c r="AH265" i="27"/>
  <c r="AH266" i="27"/>
  <c r="AH267" i="27"/>
  <c r="AH268" i="27"/>
  <c r="AH269" i="27"/>
  <c r="AH270" i="27"/>
  <c r="AH271" i="27"/>
  <c r="AH272" i="27"/>
  <c r="AH273" i="27"/>
  <c r="AH274" i="27"/>
  <c r="AH275" i="27"/>
  <c r="AH276" i="27"/>
  <c r="AH277" i="27"/>
  <c r="AH264" i="27"/>
  <c r="U265" i="27"/>
  <c r="U266" i="27"/>
  <c r="U267" i="27"/>
  <c r="U268" i="27"/>
  <c r="U269" i="27"/>
  <c r="U270" i="27"/>
  <c r="U271" i="27"/>
  <c r="U272" i="27"/>
  <c r="U273" i="27"/>
  <c r="U274" i="27"/>
  <c r="U275" i="27"/>
  <c r="U276" i="27"/>
  <c r="U277" i="27"/>
  <c r="U264" i="27"/>
  <c r="BT183" i="27"/>
  <c r="BT184" i="27"/>
  <c r="BT185" i="27"/>
  <c r="BT186" i="27"/>
  <c r="BT187" i="27"/>
  <c r="BT188" i="27"/>
  <c r="BT189" i="27"/>
  <c r="BT190" i="27"/>
  <c r="BT191" i="27"/>
  <c r="BT192" i="27"/>
  <c r="BT193" i="27"/>
  <c r="BT194" i="27"/>
  <c r="BT182" i="27"/>
  <c r="AU183" i="27"/>
  <c r="AU184" i="27"/>
  <c r="AU185" i="27"/>
  <c r="AU186" i="27"/>
  <c r="AU187" i="27"/>
  <c r="AU188" i="27"/>
  <c r="AU189" i="27"/>
  <c r="AU190" i="27"/>
  <c r="AU191" i="27"/>
  <c r="AU192" i="27"/>
  <c r="AU193" i="27"/>
  <c r="AU194" i="27"/>
  <c r="AU182" i="27"/>
  <c r="V194" i="27"/>
  <c r="V193" i="27"/>
  <c r="V192" i="27"/>
  <c r="V191" i="27"/>
  <c r="V190" i="27"/>
  <c r="V189" i="27"/>
  <c r="V188" i="27"/>
  <c r="V187" i="27"/>
  <c r="V186" i="27"/>
  <c r="V185" i="27"/>
  <c r="V184" i="27"/>
  <c r="V183" i="27"/>
  <c r="V182" i="27"/>
  <c r="BS14" i="1"/>
  <c r="BS15" i="1"/>
  <c r="BS16" i="1"/>
  <c r="BS17" i="1"/>
  <c r="BS18" i="1"/>
  <c r="BS19" i="1"/>
  <c r="BS20" i="1"/>
  <c r="BS21" i="1"/>
  <c r="BS22" i="1"/>
  <c r="BS23" i="1"/>
  <c r="BS24" i="1"/>
  <c r="BS25" i="1"/>
  <c r="BS26" i="1"/>
  <c r="BS27" i="1"/>
  <c r="BS13" i="1"/>
  <c r="BS68" i="1"/>
  <c r="BS69" i="1"/>
  <c r="BS70" i="1"/>
  <c r="BS71" i="1"/>
  <c r="BS72" i="1"/>
  <c r="BS73" i="1"/>
  <c r="BS74" i="1"/>
  <c r="BS75" i="1"/>
  <c r="BS76" i="1"/>
  <c r="BS77" i="1"/>
  <c r="BS78" i="1"/>
  <c r="BS79" i="1"/>
  <c r="BS67" i="1"/>
  <c r="BK58" i="1"/>
  <c r="BK59" i="1"/>
  <c r="BK60" i="1"/>
  <c r="BK61" i="1"/>
  <c r="BK62" i="1"/>
  <c r="BK63" i="1"/>
  <c r="BK64" i="1"/>
  <c r="BK65" i="1"/>
  <c r="BK66" i="1"/>
  <c r="BK67" i="1"/>
  <c r="BK68" i="1"/>
  <c r="BK69" i="1"/>
  <c r="BK70" i="1"/>
  <c r="BK57" i="1"/>
  <c r="BZ14" i="1"/>
  <c r="BZ15" i="1"/>
  <c r="BZ16" i="1"/>
  <c r="BZ17" i="1"/>
  <c r="BZ18" i="1"/>
  <c r="BZ19" i="1"/>
  <c r="BZ20" i="1"/>
  <c r="BZ21" i="1"/>
  <c r="BZ22" i="1"/>
  <c r="BZ23" i="1"/>
  <c r="BZ24" i="1"/>
  <c r="BZ25" i="1"/>
  <c r="BZ26" i="1"/>
  <c r="BZ13" i="1"/>
  <c r="BK14" i="1"/>
  <c r="BK15" i="1"/>
  <c r="BK16" i="1"/>
  <c r="BK17" i="1"/>
  <c r="BK18" i="1"/>
  <c r="BK19" i="1"/>
  <c r="BK20" i="1"/>
  <c r="BK21" i="1"/>
  <c r="BK22" i="1"/>
  <c r="BK23" i="1"/>
  <c r="BK24" i="1"/>
  <c r="BK25" i="1"/>
  <c r="BK13" i="1"/>
  <c r="AR21" i="12" l="1"/>
  <c r="AS21" i="12"/>
  <c r="AT21" i="12"/>
  <c r="BU145" i="20"/>
  <c r="BT145" i="20"/>
  <c r="BU144" i="20"/>
  <c r="BT144" i="20"/>
  <c r="BU143" i="20"/>
  <c r="BT143" i="20"/>
  <c r="BD145" i="20"/>
  <c r="BC145" i="20"/>
  <c r="BD144" i="20"/>
  <c r="BC144" i="20"/>
  <c r="BD143" i="20"/>
  <c r="BC143" i="20"/>
  <c r="AM145" i="20"/>
  <c r="AL145" i="20"/>
  <c r="AM144" i="20"/>
  <c r="AL144" i="20"/>
  <c r="AM143" i="20"/>
  <c r="AL143" i="20"/>
  <c r="V145" i="20"/>
  <c r="U145" i="20"/>
  <c r="V144" i="20"/>
  <c r="U144" i="20"/>
  <c r="V143" i="20"/>
  <c r="U143" i="20"/>
  <c r="D144" i="20"/>
  <c r="D145" i="20"/>
  <c r="D143" i="20"/>
  <c r="E144" i="20"/>
  <c r="E145" i="20"/>
  <c r="E143" i="20"/>
  <c r="J5" i="20"/>
  <c r="J6" i="20"/>
  <c r="K6" i="20"/>
  <c r="L6" i="20" s="1"/>
  <c r="K5" i="20"/>
  <c r="I5" i="20"/>
  <c r="I6" i="20"/>
  <c r="U55" i="19"/>
  <c r="Z62" i="20" s="1"/>
  <c r="U54" i="19"/>
  <c r="Z61" i="20" s="1"/>
  <c r="W56" i="19"/>
  <c r="W55" i="19"/>
  <c r="W54" i="19"/>
  <c r="W53" i="19"/>
  <c r="W52" i="19"/>
  <c r="W51" i="19"/>
  <c r="W50" i="19"/>
  <c r="W49" i="19"/>
  <c r="W48" i="19"/>
  <c r="W47" i="19"/>
  <c r="W46" i="19"/>
  <c r="W45" i="19"/>
  <c r="W44" i="19"/>
  <c r="W43" i="19"/>
  <c r="W42" i="19"/>
  <c r="W41" i="19"/>
  <c r="W40" i="19"/>
  <c r="W39" i="19"/>
  <c r="W38" i="19"/>
  <c r="W37" i="19"/>
  <c r="T56" i="19"/>
  <c r="T55" i="19"/>
  <c r="T54" i="19"/>
  <c r="T53" i="19"/>
  <c r="T52" i="19"/>
  <c r="T51" i="19"/>
  <c r="T50" i="19"/>
  <c r="T49" i="19"/>
  <c r="T48" i="19"/>
  <c r="T47" i="19"/>
  <c r="T46" i="19"/>
  <c r="T45" i="19"/>
  <c r="T44" i="19"/>
  <c r="T43" i="19"/>
  <c r="T42" i="19"/>
  <c r="T41" i="19"/>
  <c r="T40" i="19"/>
  <c r="T39" i="19"/>
  <c r="T38" i="19"/>
  <c r="T37" i="19"/>
  <c r="Q56" i="19"/>
  <c r="Q55" i="19"/>
  <c r="Q54" i="19"/>
  <c r="Q53" i="19"/>
  <c r="Q52" i="19"/>
  <c r="Q51" i="19"/>
  <c r="Q50" i="19"/>
  <c r="Q49" i="19"/>
  <c r="Q48" i="19"/>
  <c r="Q47" i="19"/>
  <c r="Q46" i="19"/>
  <c r="Q45" i="19"/>
  <c r="Q44" i="19"/>
  <c r="Q43" i="19"/>
  <c r="Q42" i="19"/>
  <c r="Q41" i="19"/>
  <c r="Q40" i="19"/>
  <c r="Q39" i="19"/>
  <c r="Q38" i="19"/>
  <c r="Q37" i="19"/>
  <c r="E33" i="19"/>
  <c r="U48" i="19"/>
  <c r="X33" i="19"/>
  <c r="X32" i="19"/>
  <c r="X31" i="19"/>
  <c r="X30" i="19"/>
  <c r="X29" i="19"/>
  <c r="X28" i="19"/>
  <c r="X27" i="19"/>
  <c r="X26" i="19"/>
  <c r="X25" i="19"/>
  <c r="X24" i="19"/>
  <c r="X23" i="19"/>
  <c r="X22" i="19"/>
  <c r="X21" i="19"/>
  <c r="X20" i="19"/>
  <c r="X19" i="19"/>
  <c r="X18" i="19"/>
  <c r="X17" i="19"/>
  <c r="X16" i="19"/>
  <c r="X15" i="19"/>
  <c r="X14" i="19"/>
  <c r="W18" i="19"/>
  <c r="W17" i="19"/>
  <c r="W16" i="19"/>
  <c r="W15" i="19"/>
  <c r="W14" i="19"/>
  <c r="U33" i="19"/>
  <c r="U32" i="19"/>
  <c r="U31" i="19"/>
  <c r="U30" i="19"/>
  <c r="U29" i="19"/>
  <c r="U28" i="19"/>
  <c r="U27" i="19"/>
  <c r="U26" i="19"/>
  <c r="U25" i="19"/>
  <c r="U24" i="19"/>
  <c r="U23" i="19"/>
  <c r="U22" i="19"/>
  <c r="U21" i="19"/>
  <c r="U20" i="19"/>
  <c r="U19" i="19"/>
  <c r="U18" i="19"/>
  <c r="U17" i="19"/>
  <c r="U16" i="19"/>
  <c r="U15" i="19"/>
  <c r="U14" i="19"/>
  <c r="R33" i="19"/>
  <c r="R32" i="19"/>
  <c r="R31" i="19"/>
  <c r="R30" i="19"/>
  <c r="R29" i="19"/>
  <c r="R28" i="19"/>
  <c r="R27" i="19"/>
  <c r="R26" i="19"/>
  <c r="R25" i="19"/>
  <c r="R24" i="19"/>
  <c r="R23" i="19"/>
  <c r="R22" i="19"/>
  <c r="R21" i="19"/>
  <c r="R20" i="19"/>
  <c r="R19" i="19"/>
  <c r="R17" i="19"/>
  <c r="R18" i="19"/>
  <c r="R16" i="19"/>
  <c r="R15" i="19"/>
  <c r="R14" i="19"/>
  <c r="DK7" i="1"/>
  <c r="DK8" i="1"/>
  <c r="DK9" i="1"/>
  <c r="DK10" i="1"/>
  <c r="DK11" i="1"/>
  <c r="DK12" i="1"/>
  <c r="DK13" i="1"/>
  <c r="DK14" i="1"/>
  <c r="DJ13" i="1"/>
  <c r="DL13" i="1" s="1"/>
  <c r="DJ14" i="1"/>
  <c r="DL14" i="1" s="1"/>
  <c r="DJ7" i="1"/>
  <c r="DJ8" i="1"/>
  <c r="DJ9" i="1"/>
  <c r="DL9" i="1" s="1"/>
  <c r="DJ10" i="1"/>
  <c r="DJ11" i="1"/>
  <c r="DJ12" i="1"/>
  <c r="DL12" i="1" s="1"/>
  <c r="E176" i="1"/>
  <c r="Z55" i="20" l="1"/>
  <c r="DM13" i="1"/>
  <c r="DM14" i="1"/>
  <c r="M6" i="20"/>
  <c r="N6" i="20" s="1"/>
  <c r="O6" i="20" s="1"/>
  <c r="DM12" i="1"/>
  <c r="E184" i="1"/>
  <c r="H113" i="1"/>
  <c r="AM98" i="27"/>
  <c r="AM97" i="27"/>
  <c r="AB98" i="27"/>
  <c r="AB97" i="27"/>
  <c r="AB95" i="27"/>
  <c r="AB94" i="27"/>
  <c r="AC285" i="27"/>
  <c r="AC271" i="27" s="1"/>
  <c r="P285" i="27"/>
  <c r="D285" i="27"/>
  <c r="D271" i="27" s="1"/>
  <c r="AC273" i="27"/>
  <c r="AC272" i="27"/>
  <c r="P273" i="27"/>
  <c r="P272" i="27"/>
  <c r="AC265" i="27"/>
  <c r="D265" i="27"/>
  <c r="P265" i="27"/>
  <c r="AC259" i="27"/>
  <c r="P259" i="27"/>
  <c r="AC258" i="27"/>
  <c r="P258" i="27"/>
  <c r="AC255" i="27"/>
  <c r="AC269" i="27" s="1"/>
  <c r="P255" i="27"/>
  <c r="AC284" i="27"/>
  <c r="AC280" i="27"/>
  <c r="AC264" i="27"/>
  <c r="AC254" i="27"/>
  <c r="P284" i="27"/>
  <c r="P280" i="27"/>
  <c r="P264" i="27"/>
  <c r="P254" i="27"/>
  <c r="D284" i="27"/>
  <c r="D280" i="27"/>
  <c r="D273" i="27"/>
  <c r="D272" i="27"/>
  <c r="D264" i="27"/>
  <c r="D259" i="27"/>
  <c r="D258" i="27"/>
  <c r="D255" i="27"/>
  <c r="D269" i="27" s="1"/>
  <c r="D254" i="27"/>
  <c r="E433" i="1"/>
  <c r="E429" i="1"/>
  <c r="E422" i="1"/>
  <c r="E421" i="1"/>
  <c r="E413" i="1"/>
  <c r="E408" i="1"/>
  <c r="E407" i="1"/>
  <c r="E404" i="1"/>
  <c r="E403" i="1"/>
  <c r="BQ30" i="1"/>
  <c r="BJ28" i="1"/>
  <c r="BJ29" i="1"/>
  <c r="BJ30" i="1"/>
  <c r="BJ31" i="1"/>
  <c r="BJ32" i="1"/>
  <c r="BJ33" i="1"/>
  <c r="BJ34" i="1"/>
  <c r="BJ35" i="1"/>
  <c r="BJ27" i="1"/>
  <c r="AG265" i="27"/>
  <c r="AG266" i="27"/>
  <c r="AG267" i="27"/>
  <c r="AG268" i="27"/>
  <c r="AG269" i="27"/>
  <c r="AG270" i="27"/>
  <c r="AG271" i="27"/>
  <c r="AG272" i="27"/>
  <c r="AG273" i="27"/>
  <c r="AG274" i="27"/>
  <c r="AG275" i="27"/>
  <c r="AG276" i="27"/>
  <c r="AG277" i="27"/>
  <c r="AG264" i="27"/>
  <c r="T265" i="27"/>
  <c r="T266" i="27"/>
  <c r="T267" i="27"/>
  <c r="T268" i="27"/>
  <c r="T269" i="27"/>
  <c r="T270" i="27"/>
  <c r="T271" i="27"/>
  <c r="T272" i="27"/>
  <c r="T273" i="27"/>
  <c r="T274" i="27"/>
  <c r="T275" i="27"/>
  <c r="T276" i="27"/>
  <c r="T277" i="27"/>
  <c r="T264" i="27"/>
  <c r="H265" i="27"/>
  <c r="H266" i="27"/>
  <c r="H267" i="27"/>
  <c r="H268" i="27"/>
  <c r="H269" i="27"/>
  <c r="H270" i="27"/>
  <c r="H271" i="27"/>
  <c r="H272" i="27"/>
  <c r="H273" i="27"/>
  <c r="H274" i="27"/>
  <c r="H275" i="27"/>
  <c r="H276" i="27"/>
  <c r="H277" i="27"/>
  <c r="H264" i="27"/>
  <c r="BS183" i="27"/>
  <c r="BS184" i="27"/>
  <c r="BS185" i="27"/>
  <c r="BS186" i="27"/>
  <c r="BS187" i="27"/>
  <c r="BS188" i="27"/>
  <c r="BS189" i="27"/>
  <c r="BS190" i="27"/>
  <c r="BS191" i="27"/>
  <c r="BS192" i="27"/>
  <c r="BS193" i="27"/>
  <c r="BS194" i="27"/>
  <c r="BS182" i="27"/>
  <c r="AT183" i="27"/>
  <c r="AT184" i="27"/>
  <c r="AT185" i="27"/>
  <c r="AT186" i="27"/>
  <c r="AT187" i="27"/>
  <c r="AT188" i="27"/>
  <c r="AT189" i="27"/>
  <c r="AT190" i="27"/>
  <c r="AT191" i="27"/>
  <c r="AT192" i="27"/>
  <c r="AT193" i="27"/>
  <c r="AT194" i="27"/>
  <c r="AT182" i="27"/>
  <c r="U183" i="27"/>
  <c r="U184" i="27"/>
  <c r="U185" i="27"/>
  <c r="U186" i="27"/>
  <c r="U187" i="27"/>
  <c r="U188" i="27"/>
  <c r="U189" i="27"/>
  <c r="U190" i="27"/>
  <c r="U191" i="27"/>
  <c r="U192" i="27"/>
  <c r="U193" i="27"/>
  <c r="U194" i="27"/>
  <c r="U182" i="27"/>
  <c r="BI266" i="1" a="1"/>
  <c r="BI266" i="1" s="1"/>
  <c r="BI250" i="1" a="1"/>
  <c r="BI250" i="1" s="1"/>
  <c r="BU227" i="1" a="1"/>
  <c r="BU227" i="1" s="1"/>
  <c r="BU212" i="1" a="1"/>
  <c r="BU212" i="1" s="1"/>
  <c r="BO227" i="1"/>
  <c r="BO228" i="1"/>
  <c r="BO229" i="1"/>
  <c r="BO230" i="1"/>
  <c r="BO231" i="1"/>
  <c r="BO232" i="1"/>
  <c r="BO233" i="1"/>
  <c r="BO234" i="1"/>
  <c r="BO235" i="1"/>
  <c r="BO236" i="1"/>
  <c r="BO237" i="1"/>
  <c r="BO238" i="1"/>
  <c r="BO213" i="1"/>
  <c r="BO214" i="1"/>
  <c r="BO215" i="1"/>
  <c r="BO216" i="1"/>
  <c r="BO217" i="1"/>
  <c r="BO218" i="1"/>
  <c r="BO219" i="1"/>
  <c r="BO220" i="1"/>
  <c r="BO221" i="1"/>
  <c r="BO222" i="1"/>
  <c r="BO223" i="1"/>
  <c r="BO224" i="1"/>
  <c r="BO226" i="1"/>
  <c r="BO212" i="1"/>
  <c r="BI229" i="1" a="1"/>
  <c r="BI229" i="1" s="1"/>
  <c r="BI212" i="1" a="1"/>
  <c r="BI212" i="1" s="1"/>
  <c r="BU189" i="1" a="1"/>
  <c r="BU189" i="1" s="1"/>
  <c r="BU174" i="1" a="1"/>
  <c r="BU174" i="1" s="1"/>
  <c r="BO190" i="1" a="1"/>
  <c r="BO190" i="1" s="1"/>
  <c r="BO174" i="1" a="1"/>
  <c r="BO174" i="1" s="1"/>
  <c r="BI188" i="1" a="1"/>
  <c r="BI188" i="1" s="1"/>
  <c r="BI174" i="1" a="1"/>
  <c r="BI174" i="1" s="1"/>
  <c r="X105" i="27"/>
  <c r="X106" i="27"/>
  <c r="X107" i="27"/>
  <c r="X108" i="27"/>
  <c r="X109" i="27"/>
  <c r="X110" i="27"/>
  <c r="X111" i="27"/>
  <c r="X112" i="27"/>
  <c r="X104" i="27"/>
  <c r="R105" i="27"/>
  <c r="R106" i="27"/>
  <c r="R107" i="27"/>
  <c r="R108" i="27"/>
  <c r="R109" i="27"/>
  <c r="R110" i="27"/>
  <c r="R111" i="27"/>
  <c r="R112" i="27"/>
  <c r="R113" i="27"/>
  <c r="R104" i="27"/>
  <c r="M105" i="27"/>
  <c r="M106" i="27"/>
  <c r="M107" i="27"/>
  <c r="M108" i="27"/>
  <c r="M109" i="27"/>
  <c r="M110" i="27"/>
  <c r="M111" i="27"/>
  <c r="M112" i="27"/>
  <c r="M104" i="27"/>
  <c r="H105" i="27"/>
  <c r="H106" i="27"/>
  <c r="H107" i="27"/>
  <c r="H108" i="27"/>
  <c r="H109" i="27"/>
  <c r="H110" i="27"/>
  <c r="H111" i="27"/>
  <c r="H112" i="27"/>
  <c r="H113" i="27"/>
  <c r="H104" i="27"/>
  <c r="B105" i="27"/>
  <c r="B106" i="27"/>
  <c r="B107" i="27"/>
  <c r="B108" i="27"/>
  <c r="B109" i="27"/>
  <c r="B110" i="27"/>
  <c r="B111" i="27"/>
  <c r="B112" i="27"/>
  <c r="B104" i="27"/>
  <c r="AG280" i="27"/>
  <c r="AG281" i="27"/>
  <c r="AG282" i="27"/>
  <c r="AG283" i="27"/>
  <c r="AG284" i="27"/>
  <c r="AG285" i="27"/>
  <c r="AG286" i="27"/>
  <c r="AG287" i="27"/>
  <c r="AG279" i="27"/>
  <c r="T280" i="27"/>
  <c r="T281" i="27"/>
  <c r="T282" i="27"/>
  <c r="T283" i="27"/>
  <c r="T284" i="27"/>
  <c r="T285" i="27"/>
  <c r="T286" i="27"/>
  <c r="T287" i="27"/>
  <c r="T279" i="27"/>
  <c r="H280" i="27"/>
  <c r="H281" i="27"/>
  <c r="H282" i="27"/>
  <c r="H283" i="27"/>
  <c r="H284" i="27"/>
  <c r="H285" i="27"/>
  <c r="H286" i="27"/>
  <c r="H287" i="27"/>
  <c r="H279" i="27"/>
  <c r="BS197" i="27"/>
  <c r="BS198" i="27"/>
  <c r="BS199" i="27"/>
  <c r="BS200" i="27"/>
  <c r="BS201" i="27"/>
  <c r="BS202" i="27"/>
  <c r="BS203" i="27"/>
  <c r="BS204" i="27"/>
  <c r="BS196" i="27"/>
  <c r="AT197" i="27"/>
  <c r="AT198" i="27"/>
  <c r="AT199" i="27"/>
  <c r="AT200" i="27"/>
  <c r="AT201" i="27"/>
  <c r="AT202" i="27"/>
  <c r="AT203" i="27"/>
  <c r="AT204" i="27"/>
  <c r="AT196" i="27"/>
  <c r="U197" i="27"/>
  <c r="U198" i="27"/>
  <c r="U199" i="27"/>
  <c r="U200" i="27"/>
  <c r="U201" i="27"/>
  <c r="U202" i="27"/>
  <c r="U203" i="27"/>
  <c r="U204" i="27"/>
  <c r="U196" i="27"/>
  <c r="BA247" i="1"/>
  <c r="BA248" i="1"/>
  <c r="BA249" i="1"/>
  <c r="BA250" i="1"/>
  <c r="BA251" i="1"/>
  <c r="BA252" i="1"/>
  <c r="BA253" i="1"/>
  <c r="BA254" i="1"/>
  <c r="BA255" i="1"/>
  <c r="BA256" i="1"/>
  <c r="BA257" i="1"/>
  <c r="BA246" i="1"/>
  <c r="BA239" i="1"/>
  <c r="BA240" i="1"/>
  <c r="BA241" i="1"/>
  <c r="BA242" i="1"/>
  <c r="BA243" i="1"/>
  <c r="BA244" i="1"/>
  <c r="BA238" i="1"/>
  <c r="BA235" i="1"/>
  <c r="BA236" i="1"/>
  <c r="BA234" i="1"/>
  <c r="BA224" i="1"/>
  <c r="BA225" i="1"/>
  <c r="BA226" i="1"/>
  <c r="BA227" i="1"/>
  <c r="BA228" i="1"/>
  <c r="BA229" i="1"/>
  <c r="BA230" i="1"/>
  <c r="BA231" i="1"/>
  <c r="BA232" i="1"/>
  <c r="BA223" i="1"/>
  <c r="BA220" i="1"/>
  <c r="BA221" i="1"/>
  <c r="BA219" i="1"/>
  <c r="BA213" i="1"/>
  <c r="BA214" i="1"/>
  <c r="BA215" i="1"/>
  <c r="BA216" i="1"/>
  <c r="BA217" i="1"/>
  <c r="BA212" i="1"/>
  <c r="BA198" i="1"/>
  <c r="BA199" i="1"/>
  <c r="BA200" i="1"/>
  <c r="BA201" i="1"/>
  <c r="BA202" i="1"/>
  <c r="BA203" i="1"/>
  <c r="BA204" i="1"/>
  <c r="BA205" i="1"/>
  <c r="BA206" i="1"/>
  <c r="BA197" i="1"/>
  <c r="BA209" i="1"/>
  <c r="BA210" i="1"/>
  <c r="BA208" i="1"/>
  <c r="BA193" i="1"/>
  <c r="BA194" i="1"/>
  <c r="BA195" i="1"/>
  <c r="BA192" i="1"/>
  <c r="BA189" i="1"/>
  <c r="BA190" i="1"/>
  <c r="BA188" i="1"/>
  <c r="BA185" i="1"/>
  <c r="BA186" i="1"/>
  <c r="BA184" i="1"/>
  <c r="BA180" i="1"/>
  <c r="BA181" i="1"/>
  <c r="BA182" i="1"/>
  <c r="BA179" i="1"/>
  <c r="BA177" i="1"/>
  <c r="BA166" i="1"/>
  <c r="BA167" i="1"/>
  <c r="BA168" i="1"/>
  <c r="BA169" i="1"/>
  <c r="BA170" i="1"/>
  <c r="BA171" i="1"/>
  <c r="BA172" i="1"/>
  <c r="BA173" i="1"/>
  <c r="BA174" i="1"/>
  <c r="BA175" i="1"/>
  <c r="BA176" i="1"/>
  <c r="BA165" i="1"/>
  <c r="AZ140" i="1" a="1"/>
  <c r="AY140" i="1" a="1"/>
  <c r="BA141" i="1" s="1"/>
  <c r="E201" i="1"/>
  <c r="E208" i="1"/>
  <c r="AB21" i="12"/>
  <c r="AC21" i="12"/>
  <c r="AD21" i="12"/>
  <c r="AE21" i="12"/>
  <c r="AF21" i="12"/>
  <c r="AG21" i="12"/>
  <c r="AH21" i="12"/>
  <c r="AI21" i="12"/>
  <c r="AJ21" i="12"/>
  <c r="AK21" i="12"/>
  <c r="AL21" i="12"/>
  <c r="AM21" i="12"/>
  <c r="AN21" i="12"/>
  <c r="AO21" i="12"/>
  <c r="AP21" i="12"/>
  <c r="AQ21" i="12"/>
  <c r="AA21" i="12"/>
  <c r="H21" i="12"/>
  <c r="I21" i="12"/>
  <c r="J21" i="12"/>
  <c r="K21" i="12"/>
  <c r="L21" i="12"/>
  <c r="M21" i="12"/>
  <c r="N21" i="12"/>
  <c r="O21" i="12"/>
  <c r="P21" i="12"/>
  <c r="Q21" i="12"/>
  <c r="R21" i="12"/>
  <c r="S21" i="12"/>
  <c r="T21" i="12"/>
  <c r="U21" i="12"/>
  <c r="V21" i="12"/>
  <c r="W21" i="12"/>
  <c r="X21" i="12"/>
  <c r="Y21" i="12"/>
  <c r="Z21" i="12"/>
  <c r="G21" i="12"/>
  <c r="E402" i="1" l="1"/>
  <c r="E406" i="1"/>
  <c r="D257" i="27"/>
  <c r="D253" i="27"/>
  <c r="D263" i="27"/>
  <c r="D278" i="27" s="1"/>
  <c r="P263" i="27"/>
  <c r="P278" i="27" s="1"/>
  <c r="AM95" i="27"/>
  <c r="P253" i="27"/>
  <c r="AC263" i="27"/>
  <c r="AC278" i="27" s="1"/>
  <c r="P271" i="27"/>
  <c r="AC257" i="27"/>
  <c r="P257" i="27"/>
  <c r="AC277" i="27"/>
  <c r="AC253" i="27"/>
  <c r="P269" i="27"/>
  <c r="D277" i="27"/>
  <c r="AY140" i="1"/>
  <c r="BA140" i="1" s="1"/>
  <c r="BA143" i="1"/>
  <c r="BB143" i="1" s="1"/>
  <c r="AZ140" i="1"/>
  <c r="BA142" i="1"/>
  <c r="BB142" i="1" s="1"/>
  <c r="BB141" i="1"/>
  <c r="Z294" i="27" l="1"/>
  <c r="A293" i="27"/>
  <c r="Z292" i="27"/>
  <c r="AC270" i="27"/>
  <c r="AC268" i="27" s="1"/>
  <c r="M293" i="27"/>
  <c r="Z293" i="27"/>
  <c r="AM82" i="27"/>
  <c r="AM83" i="27"/>
  <c r="P270" i="27"/>
  <c r="P268" i="27" s="1"/>
  <c r="M292" i="27"/>
  <c r="M294" i="27"/>
  <c r="A294" i="27"/>
  <c r="D270" i="27"/>
  <c r="D268" i="27" s="1"/>
  <c r="A292" i="27"/>
  <c r="D276" i="27"/>
  <c r="D283" i="27" s="1"/>
  <c r="D282" i="27" s="1"/>
  <c r="AC276" i="27"/>
  <c r="AC283" i="27" s="1"/>
  <c r="AC282" i="27" s="1"/>
  <c r="P277" i="27"/>
  <c r="BB140" i="1"/>
  <c r="BC140" i="1" s="1"/>
  <c r="H29" i="14" s="1"/>
  <c r="V95" i="27"/>
  <c r="Q95" i="27"/>
  <c r="L95" i="27"/>
  <c r="G94" i="27"/>
  <c r="B97" i="27"/>
  <c r="B96" i="27"/>
  <c r="B132" i="27" l="1"/>
  <c r="B131" i="27"/>
  <c r="AM80" i="27"/>
  <c r="B133" i="27"/>
  <c r="P276" i="27"/>
  <c r="P283" i="27" s="1"/>
  <c r="P282" i="27" s="1"/>
  <c r="AM81" i="27" s="1"/>
  <c r="AY150" i="1" a="1"/>
  <c r="G381" i="1" a="1"/>
  <c r="G381" i="1" s="1"/>
  <c r="H377" i="1"/>
  <c r="I377" i="1"/>
  <c r="G377" i="1"/>
  <c r="I368" i="1"/>
  <c r="H368" i="1"/>
  <c r="G368" i="1"/>
  <c r="G367" i="1" a="1"/>
  <c r="G367" i="1" s="1"/>
  <c r="E367" i="1" s="1"/>
  <c r="I359" i="1"/>
  <c r="H359" i="1"/>
  <c r="G359" i="1"/>
  <c r="G354" i="1" a="1"/>
  <c r="G354" i="1" s="1"/>
  <c r="G353" i="1" a="1"/>
  <c r="G353" i="1" s="1"/>
  <c r="G352" i="1" s="1"/>
  <c r="I333" i="1"/>
  <c r="H333" i="1"/>
  <c r="G333" i="1"/>
  <c r="G334" i="1" a="1"/>
  <c r="G334" i="1" s="1"/>
  <c r="G328" i="1" a="1"/>
  <c r="G328" i="1" s="1"/>
  <c r="G329" i="1" a="1"/>
  <c r="G329" i="1" s="1"/>
  <c r="G326" i="1" a="1"/>
  <c r="G326" i="1" s="1"/>
  <c r="H160" i="1"/>
  <c r="G160" i="1"/>
  <c r="H153" i="1"/>
  <c r="G153" i="1"/>
  <c r="G152" i="1" a="1"/>
  <c r="G152" i="1" s="1"/>
  <c r="H148" i="1"/>
  <c r="G148" i="1"/>
  <c r="H139" i="1"/>
  <c r="G139" i="1"/>
  <c r="G138" i="1" a="1"/>
  <c r="G138" i="1" s="1"/>
  <c r="E138" i="1" s="1"/>
  <c r="H131" i="1"/>
  <c r="G131" i="1"/>
  <c r="G126" i="1" a="1"/>
  <c r="G126" i="1" s="1"/>
  <c r="G125" i="1" a="1"/>
  <c r="G125" i="1" s="1"/>
  <c r="H115" i="1"/>
  <c r="G115" i="1"/>
  <c r="G114" i="1" a="1"/>
  <c r="G114" i="1" s="1"/>
  <c r="G113" i="1"/>
  <c r="G112" i="1"/>
  <c r="G107" i="1" a="1"/>
  <c r="G107" i="1" s="1"/>
  <c r="G105" i="1" s="1"/>
  <c r="Q38" i="24"/>
  <c r="E39" i="24"/>
  <c r="B39" i="24"/>
  <c r="W37" i="24"/>
  <c r="T37" i="24"/>
  <c r="H39" i="24"/>
  <c r="N38" i="24"/>
  <c r="K38" i="24"/>
  <c r="E509" i="1"/>
  <c r="E496" i="1" s="1"/>
  <c r="E503" i="1" s="1"/>
  <c r="E472" i="1"/>
  <c r="E459" i="1" s="1"/>
  <c r="E466" i="1" s="1"/>
  <c r="AF302" i="27" a="1"/>
  <c r="S302" i="27" a="1"/>
  <c r="S302" i="27" s="1"/>
  <c r="G302" i="27" a="1"/>
  <c r="G302" i="27" s="1"/>
  <c r="BR219" i="27" a="1"/>
  <c r="BR219" i="27" s="1"/>
  <c r="AS219" i="27" a="1"/>
  <c r="AS219" i="27" s="1"/>
  <c r="T220" i="27" a="1"/>
  <c r="T220" i="27" s="1"/>
  <c r="CK47" i="1" a="1"/>
  <c r="CK40" i="1" a="1"/>
  <c r="CK40" i="1" s="1"/>
  <c r="CK33" i="1" a="1"/>
  <c r="CK26" i="1" a="1"/>
  <c r="CK26" i="1" s="1"/>
  <c r="CK19" i="1" a="1"/>
  <c r="CK12" i="1" a="1"/>
  <c r="CK12" i="1" s="1"/>
  <c r="CK5" i="1" a="1"/>
  <c r="CN7" i="1" s="1"/>
  <c r="DQ2" i="1" a="1"/>
  <c r="DQ2" i="1" s="1"/>
  <c r="DP3" i="1"/>
  <c r="DR3" i="1" s="1"/>
  <c r="DP4" i="1"/>
  <c r="DR4" i="1" s="1"/>
  <c r="DP5" i="1"/>
  <c r="DR5" i="1" s="1"/>
  <c r="DP6" i="1"/>
  <c r="DR6" i="1" s="1"/>
  <c r="DP7" i="1"/>
  <c r="DR7" i="1" s="1"/>
  <c r="DP2" i="1"/>
  <c r="AL12" i="24"/>
  <c r="AL13" i="24"/>
  <c r="AI12" i="24"/>
  <c r="AI13" i="24"/>
  <c r="AF12" i="24"/>
  <c r="AF13" i="24"/>
  <c r="AC12" i="24"/>
  <c r="AC13" i="24"/>
  <c r="Z12" i="24"/>
  <c r="Z13" i="24"/>
  <c r="W12" i="24"/>
  <c r="W13" i="24"/>
  <c r="T12" i="24"/>
  <c r="T13" i="24"/>
  <c r="Q12" i="24"/>
  <c r="Q13" i="24"/>
  <c r="N12" i="24"/>
  <c r="N13" i="24"/>
  <c r="K12" i="24"/>
  <c r="K13" i="24"/>
  <c r="H12" i="24"/>
  <c r="H13" i="24"/>
  <c r="E12" i="24"/>
  <c r="E13" i="24"/>
  <c r="B12" i="24"/>
  <c r="B13" i="24"/>
  <c r="AD33" i="27"/>
  <c r="AC33" i="27"/>
  <c r="C30" i="27"/>
  <c r="AD35" i="27" s="1"/>
  <c r="D30" i="27"/>
  <c r="AD36" i="27" s="1"/>
  <c r="E30" i="27"/>
  <c r="AD37" i="27" s="1"/>
  <c r="F30" i="27"/>
  <c r="AD38" i="27" s="1"/>
  <c r="G30" i="27"/>
  <c r="AD39" i="27" s="1"/>
  <c r="H30" i="27"/>
  <c r="AD40" i="27" s="1"/>
  <c r="I30" i="27"/>
  <c r="AD41" i="27" s="1"/>
  <c r="J30" i="27"/>
  <c r="AD42" i="27" s="1"/>
  <c r="K30" i="27"/>
  <c r="AD43" i="27" s="1"/>
  <c r="L30" i="27"/>
  <c r="AD44" i="27" s="1"/>
  <c r="M30" i="27"/>
  <c r="AD45" i="27" s="1"/>
  <c r="N30" i="27"/>
  <c r="AD46" i="27" s="1"/>
  <c r="O30" i="27"/>
  <c r="AD47" i="27" s="1"/>
  <c r="P30" i="27"/>
  <c r="AD48" i="27" s="1"/>
  <c r="Q30" i="27"/>
  <c r="AD49" i="27" s="1"/>
  <c r="R30" i="27"/>
  <c r="AD50" i="27" s="1"/>
  <c r="S30" i="27"/>
  <c r="AD51" i="27" s="1"/>
  <c r="T30" i="27"/>
  <c r="AD52" i="27" s="1"/>
  <c r="U30" i="27"/>
  <c r="AD53" i="27" s="1"/>
  <c r="V30" i="27"/>
  <c r="AD54" i="27" s="1"/>
  <c r="W30" i="27"/>
  <c r="AD55" i="27" s="1"/>
  <c r="X30" i="27"/>
  <c r="AD56" i="27" s="1"/>
  <c r="Y30" i="27"/>
  <c r="AD57" i="27" s="1"/>
  <c r="Z30" i="27"/>
  <c r="AD58" i="27" s="1"/>
  <c r="AA30" i="27"/>
  <c r="AD59" i="27" s="1"/>
  <c r="AB30" i="27"/>
  <c r="AD60" i="27" s="1"/>
  <c r="AC30" i="27"/>
  <c r="AD61" i="27" s="1"/>
  <c r="AD30" i="27"/>
  <c r="AD62" i="27" s="1"/>
  <c r="AE30" i="27"/>
  <c r="AD63" i="27" s="1"/>
  <c r="AF30" i="27"/>
  <c r="AD64" i="27" s="1"/>
  <c r="AG30" i="27"/>
  <c r="AD65" i="27" s="1"/>
  <c r="AH30" i="27"/>
  <c r="AD66" i="27" s="1"/>
  <c r="AI30" i="27"/>
  <c r="AD67" i="27" s="1"/>
  <c r="AJ30" i="27"/>
  <c r="AD68" i="27" s="1"/>
  <c r="AK30" i="27"/>
  <c r="AD69" i="27" s="1"/>
  <c r="AL30" i="27"/>
  <c r="AD70" i="27" s="1"/>
  <c r="AM30" i="27"/>
  <c r="AD71" i="27" s="1"/>
  <c r="AN30" i="27"/>
  <c r="AD72" i="27" s="1"/>
  <c r="AO30" i="27"/>
  <c r="AP30" i="27"/>
  <c r="AQ30" i="27"/>
  <c r="AR30" i="27"/>
  <c r="AS30" i="27"/>
  <c r="C29" i="27"/>
  <c r="AC35" i="27" s="1"/>
  <c r="D29" i="27"/>
  <c r="AC36" i="27" s="1"/>
  <c r="E29" i="27"/>
  <c r="AC37" i="27" s="1"/>
  <c r="F29" i="27"/>
  <c r="AC38" i="27" s="1"/>
  <c r="G29" i="27"/>
  <c r="AC39" i="27" s="1"/>
  <c r="H29" i="27"/>
  <c r="AC40" i="27" s="1"/>
  <c r="I29" i="27"/>
  <c r="AC41" i="27" s="1"/>
  <c r="J29" i="27"/>
  <c r="AC42" i="27" s="1"/>
  <c r="K29" i="27"/>
  <c r="AC43" i="27" s="1"/>
  <c r="L29" i="27"/>
  <c r="AC44" i="27" s="1"/>
  <c r="M29" i="27"/>
  <c r="AC45" i="27" s="1"/>
  <c r="N29" i="27"/>
  <c r="AC46" i="27" s="1"/>
  <c r="O29" i="27"/>
  <c r="AC47" i="27" s="1"/>
  <c r="P29" i="27"/>
  <c r="AC48" i="27" s="1"/>
  <c r="Q29" i="27"/>
  <c r="AC49" i="27" s="1"/>
  <c r="R29" i="27"/>
  <c r="AC50" i="27" s="1"/>
  <c r="S29" i="27"/>
  <c r="AC51" i="27" s="1"/>
  <c r="T29" i="27"/>
  <c r="AC52" i="27" s="1"/>
  <c r="U29" i="27"/>
  <c r="AC53" i="27" s="1"/>
  <c r="V29" i="27"/>
  <c r="AC54" i="27" s="1"/>
  <c r="W29" i="27"/>
  <c r="AC55" i="27" s="1"/>
  <c r="X29" i="27"/>
  <c r="AC56" i="27" s="1"/>
  <c r="Y29" i="27"/>
  <c r="AC57" i="27" s="1"/>
  <c r="Z29" i="27"/>
  <c r="AC58" i="27" s="1"/>
  <c r="AA29" i="27"/>
  <c r="AC59" i="27" s="1"/>
  <c r="AB29" i="27"/>
  <c r="AC60" i="27" s="1"/>
  <c r="AC29" i="27"/>
  <c r="AC61" i="27" s="1"/>
  <c r="AD29" i="27"/>
  <c r="AC62" i="27" s="1"/>
  <c r="AE29" i="27"/>
  <c r="AC63" i="27" s="1"/>
  <c r="AF29" i="27"/>
  <c r="AC64" i="27" s="1"/>
  <c r="AG29" i="27"/>
  <c r="AC65" i="27" s="1"/>
  <c r="AH29" i="27"/>
  <c r="AC66" i="27" s="1"/>
  <c r="AI29" i="27"/>
  <c r="AC67" i="27" s="1"/>
  <c r="AJ29" i="27"/>
  <c r="AC68" i="27" s="1"/>
  <c r="AK29" i="27"/>
  <c r="AC69" i="27" s="1"/>
  <c r="AL29" i="27"/>
  <c r="AC70" i="27" s="1"/>
  <c r="AM29" i="27"/>
  <c r="AC71" i="27" s="1"/>
  <c r="AN29" i="27"/>
  <c r="AC72" i="27" s="1"/>
  <c r="AO29" i="27"/>
  <c r="AP29" i="27"/>
  <c r="AQ29" i="27"/>
  <c r="AR29" i="27"/>
  <c r="AS29" i="27"/>
  <c r="B29" i="27"/>
  <c r="AC34" i="27" s="1"/>
  <c r="B30" i="27"/>
  <c r="AD34" i="27" s="1"/>
  <c r="G332" i="1" l="1"/>
  <c r="AY150" i="1"/>
  <c r="BC152" i="1"/>
  <c r="BC153" i="1"/>
  <c r="BC154" i="1"/>
  <c r="BC155" i="1"/>
  <c r="BC156" i="1"/>
  <c r="BC157" i="1"/>
  <c r="BC158" i="1"/>
  <c r="BC159" i="1"/>
  <c r="BC160" i="1"/>
  <c r="BC151" i="1"/>
  <c r="DS6" i="1"/>
  <c r="DS5" i="1"/>
  <c r="DS7" i="1"/>
  <c r="DS4" i="1"/>
  <c r="DS3" i="1"/>
  <c r="G327" i="1"/>
  <c r="G342" i="1" s="1"/>
  <c r="I327" i="1"/>
  <c r="BD158" i="1"/>
  <c r="BD154" i="1"/>
  <c r="BD157" i="1"/>
  <c r="BD153" i="1"/>
  <c r="BD151" i="1"/>
  <c r="BD156" i="1"/>
  <c r="BD152" i="1"/>
  <c r="BD159" i="1"/>
  <c r="BD155" i="1"/>
  <c r="BD160" i="1"/>
  <c r="I332" i="1"/>
  <c r="I352" i="1"/>
  <c r="H332" i="1"/>
  <c r="H352" i="1"/>
  <c r="G375" i="1" s="1" a="1"/>
  <c r="G375" i="1" s="1"/>
  <c r="H327" i="1"/>
  <c r="G124" i="1"/>
  <c r="G111" i="1"/>
  <c r="G110" i="1" s="1"/>
  <c r="G130" i="1" s="1"/>
  <c r="H105" i="1"/>
  <c r="H124" i="1"/>
  <c r="V305" i="27"/>
  <c r="J303" i="27"/>
  <c r="CN41" i="1"/>
  <c r="V306" i="27"/>
  <c r="CN30" i="1"/>
  <c r="CN15" i="1"/>
  <c r="CN29" i="1"/>
  <c r="CN44" i="1"/>
  <c r="AV223" i="27"/>
  <c r="J306" i="27"/>
  <c r="W223" i="27"/>
  <c r="CN13" i="1"/>
  <c r="CN43" i="1"/>
  <c r="BU222" i="27"/>
  <c r="CN16" i="1"/>
  <c r="CN27" i="1"/>
  <c r="AV220" i="27"/>
  <c r="V303" i="27"/>
  <c r="CK33" i="1"/>
  <c r="CN36" i="1"/>
  <c r="CN34" i="1"/>
  <c r="CN37" i="1"/>
  <c r="CN35" i="1"/>
  <c r="CK19" i="1"/>
  <c r="CN22" i="1"/>
  <c r="CN23" i="1"/>
  <c r="CN20" i="1"/>
  <c r="CK47" i="1"/>
  <c r="CN50" i="1"/>
  <c r="CN48" i="1"/>
  <c r="CN51" i="1"/>
  <c r="AF302" i="27"/>
  <c r="AI305" i="27"/>
  <c r="AI303" i="27"/>
  <c r="AI306" i="27"/>
  <c r="CK5" i="1"/>
  <c r="CN8" i="1"/>
  <c r="CN6" i="1"/>
  <c r="CN9" i="1"/>
  <c r="CN21" i="1"/>
  <c r="CN49" i="1"/>
  <c r="AI304" i="27"/>
  <c r="W222" i="27"/>
  <c r="CN14" i="1"/>
  <c r="CN28" i="1"/>
  <c r="CN42" i="1"/>
  <c r="W221" i="27"/>
  <c r="AV222" i="27"/>
  <c r="BU220" i="27"/>
  <c r="J305" i="27"/>
  <c r="V304" i="27"/>
  <c r="BU221" i="27"/>
  <c r="W224" i="27"/>
  <c r="AV221" i="27"/>
  <c r="BU223" i="27"/>
  <c r="J304" i="27"/>
  <c r="BW226" i="1"/>
  <c r="BJ266" i="1" a="1"/>
  <c r="BH266" i="1" a="1"/>
  <c r="BH266" i="1" s="1"/>
  <c r="BJ250" i="1" a="1"/>
  <c r="BK254" i="1" s="1"/>
  <c r="BH250" i="1" a="1"/>
  <c r="BH250" i="1" s="1"/>
  <c r="BV227" i="1" a="1"/>
  <c r="BW233" i="1" s="1"/>
  <c r="BT227" i="1" a="1"/>
  <c r="BT227" i="1" s="1"/>
  <c r="BV212" i="1" a="1"/>
  <c r="BW219" i="1" s="1"/>
  <c r="BT212" i="1" a="1"/>
  <c r="BT212" i="1" s="1"/>
  <c r="BV189" i="1" a="1"/>
  <c r="BW196" i="1" s="1"/>
  <c r="BT189" i="1" a="1"/>
  <c r="BT189" i="1" s="1"/>
  <c r="BV174" i="1" a="1"/>
  <c r="BW177" i="1" s="1"/>
  <c r="BT174" i="1" a="1"/>
  <c r="BT174" i="1" s="1"/>
  <c r="BP190" i="1" a="1"/>
  <c r="BQ194" i="1" s="1"/>
  <c r="BN190" i="1" a="1"/>
  <c r="BN190" i="1" s="1"/>
  <c r="BP174" i="1" a="1"/>
  <c r="BQ183" i="1" s="1"/>
  <c r="BN174" i="1" a="1"/>
  <c r="BN174" i="1" s="1"/>
  <c r="BJ229" i="1" a="1"/>
  <c r="BK234" i="1" s="1"/>
  <c r="BH229" i="1" a="1"/>
  <c r="BH229" i="1" s="1"/>
  <c r="BJ212" i="1" a="1"/>
  <c r="BK216" i="1" s="1"/>
  <c r="BH212" i="1" a="1"/>
  <c r="BH212" i="1" s="1"/>
  <c r="BJ188" i="1" a="1"/>
  <c r="BK189" i="1" s="1"/>
  <c r="BH188" i="1" a="1"/>
  <c r="BH188" i="1" s="1"/>
  <c r="BJ174" i="1" a="1"/>
  <c r="BK179" i="1" s="1"/>
  <c r="BH174" i="1" a="1"/>
  <c r="BH174" i="1" s="1"/>
  <c r="BP226" i="1" a="1"/>
  <c r="BQ231" i="1" s="1"/>
  <c r="BN236" i="1"/>
  <c r="BN237" i="1"/>
  <c r="BN238" i="1"/>
  <c r="BN227" i="1"/>
  <c r="BN228" i="1"/>
  <c r="BN229" i="1"/>
  <c r="BN230" i="1"/>
  <c r="BN231" i="1"/>
  <c r="BN232" i="1"/>
  <c r="BN233" i="1"/>
  <c r="BN234" i="1"/>
  <c r="BN235" i="1"/>
  <c r="BN226" i="1"/>
  <c r="BP213" i="1"/>
  <c r="BQ213" i="1" s="1"/>
  <c r="BP214" i="1"/>
  <c r="BQ214" i="1" s="1"/>
  <c r="BP215" i="1"/>
  <c r="BQ215" i="1" s="1"/>
  <c r="BP216" i="1"/>
  <c r="BQ216" i="1" s="1"/>
  <c r="BP217" i="1"/>
  <c r="BQ217" i="1" s="1"/>
  <c r="BP218" i="1"/>
  <c r="BQ218" i="1" s="1"/>
  <c r="BP219" i="1"/>
  <c r="BQ219" i="1" s="1"/>
  <c r="BP220" i="1"/>
  <c r="BQ220" i="1" s="1"/>
  <c r="BP221" i="1"/>
  <c r="BQ221" i="1" s="1"/>
  <c r="BP222" i="1"/>
  <c r="BQ222" i="1" s="1"/>
  <c r="BP223" i="1"/>
  <c r="BQ223" i="1" s="1"/>
  <c r="BP224" i="1"/>
  <c r="BQ224" i="1" s="1"/>
  <c r="BP212" i="1"/>
  <c r="BQ212" i="1" s="1"/>
  <c r="BN224" i="1"/>
  <c r="BN213" i="1"/>
  <c r="BN214" i="1"/>
  <c r="BN215" i="1"/>
  <c r="BN216" i="1"/>
  <c r="BN217" i="1"/>
  <c r="BN218" i="1"/>
  <c r="BN219" i="1"/>
  <c r="BN220" i="1"/>
  <c r="BN221" i="1"/>
  <c r="BN222" i="1"/>
  <c r="BN223" i="1"/>
  <c r="BN212" i="1"/>
  <c r="BB196" i="1"/>
  <c r="BC196" i="1" s="1"/>
  <c r="BB211" i="1"/>
  <c r="BC211" i="1" s="1"/>
  <c r="BB222" i="1"/>
  <c r="BC222" i="1" s="1"/>
  <c r="BB237" i="1"/>
  <c r="BC237" i="1" s="1"/>
  <c r="AY165" i="1"/>
  <c r="AY166" i="1"/>
  <c r="AY167" i="1"/>
  <c r="AY168" i="1"/>
  <c r="AY169" i="1"/>
  <c r="AY170" i="1"/>
  <c r="AY171" i="1"/>
  <c r="AY172" i="1"/>
  <c r="AY173" i="1"/>
  <c r="AY174" i="1"/>
  <c r="AY175" i="1"/>
  <c r="AY176" i="1"/>
  <c r="AY177" i="1"/>
  <c r="AY178" i="1"/>
  <c r="AY179" i="1"/>
  <c r="AY180" i="1"/>
  <c r="AY181" i="1"/>
  <c r="AY182" i="1"/>
  <c r="AY183" i="1"/>
  <c r="AY184" i="1"/>
  <c r="AY185" i="1"/>
  <c r="AY186" i="1"/>
  <c r="AY187" i="1"/>
  <c r="AY188" i="1"/>
  <c r="AY189" i="1"/>
  <c r="AY190" i="1"/>
  <c r="AY191" i="1"/>
  <c r="AY192" i="1"/>
  <c r="AY193" i="1"/>
  <c r="AY194" i="1"/>
  <c r="AY195" i="1"/>
  <c r="AY196" i="1"/>
  <c r="AY197" i="1"/>
  <c r="AZ197" i="1" s="1"/>
  <c r="BB197" i="1" s="1"/>
  <c r="AY198" i="1"/>
  <c r="AZ198" i="1" s="1"/>
  <c r="BB198" i="1" s="1"/>
  <c r="AY199" i="1"/>
  <c r="AZ199" i="1" s="1"/>
  <c r="BB199" i="1" s="1"/>
  <c r="AY200" i="1"/>
  <c r="AZ200" i="1" s="1"/>
  <c r="BB200" i="1" s="1"/>
  <c r="AY201" i="1"/>
  <c r="AZ201" i="1" s="1"/>
  <c r="BB201" i="1" s="1"/>
  <c r="AY202" i="1"/>
  <c r="AZ202" i="1" s="1"/>
  <c r="BB202" i="1" s="1"/>
  <c r="AY203" i="1"/>
  <c r="AZ203" i="1" s="1"/>
  <c r="BB203" i="1" s="1"/>
  <c r="AY204" i="1"/>
  <c r="AZ204" i="1" s="1"/>
  <c r="BB204" i="1" s="1"/>
  <c r="AY205" i="1"/>
  <c r="AZ205" i="1" s="1"/>
  <c r="BB205" i="1" s="1"/>
  <c r="AY206" i="1"/>
  <c r="AZ206" i="1" s="1"/>
  <c r="BB206" i="1" s="1"/>
  <c r="AY207" i="1"/>
  <c r="AY208" i="1"/>
  <c r="AY209" i="1"/>
  <c r="AY210" i="1"/>
  <c r="AY211" i="1"/>
  <c r="AY212" i="1"/>
  <c r="AZ212" i="1" s="1"/>
  <c r="BB212" i="1" s="1"/>
  <c r="AY213" i="1"/>
  <c r="AZ213" i="1" s="1"/>
  <c r="BB213" i="1" s="1"/>
  <c r="BC213" i="1" s="1"/>
  <c r="AY214" i="1"/>
  <c r="AZ214" i="1" s="1"/>
  <c r="BB214" i="1" s="1"/>
  <c r="AY215" i="1"/>
  <c r="AZ215" i="1" s="1"/>
  <c r="BB215" i="1" s="1"/>
  <c r="AY216" i="1"/>
  <c r="AZ216" i="1" s="1"/>
  <c r="BB216" i="1" s="1"/>
  <c r="AY217" i="1"/>
  <c r="AZ217" i="1" s="1"/>
  <c r="BB217" i="1" s="1"/>
  <c r="BC217" i="1" s="1"/>
  <c r="AY218" i="1"/>
  <c r="AY219" i="1"/>
  <c r="AY220" i="1"/>
  <c r="AY221" i="1"/>
  <c r="AY222" i="1"/>
  <c r="AY223" i="1"/>
  <c r="AZ223" i="1" s="1"/>
  <c r="BB223" i="1" s="1"/>
  <c r="AY224" i="1"/>
  <c r="AZ224" i="1" s="1"/>
  <c r="BB224" i="1" s="1"/>
  <c r="AY225" i="1"/>
  <c r="AZ225" i="1" s="1"/>
  <c r="BB225" i="1" s="1"/>
  <c r="AY226" i="1"/>
  <c r="AZ226" i="1" s="1"/>
  <c r="BB226" i="1" s="1"/>
  <c r="AY227" i="1"/>
  <c r="AZ227" i="1" s="1"/>
  <c r="BB227" i="1" s="1"/>
  <c r="AY228" i="1"/>
  <c r="AZ228" i="1" s="1"/>
  <c r="BB228" i="1" s="1"/>
  <c r="AY229" i="1"/>
  <c r="AZ229" i="1" s="1"/>
  <c r="BB229" i="1" s="1"/>
  <c r="AY230" i="1"/>
  <c r="AZ230" i="1" s="1"/>
  <c r="BB230" i="1" s="1"/>
  <c r="AY231" i="1"/>
  <c r="AZ231" i="1" s="1"/>
  <c r="BB231" i="1" s="1"/>
  <c r="AY232" i="1"/>
  <c r="AZ232" i="1" s="1"/>
  <c r="BB232" i="1" s="1"/>
  <c r="AY233" i="1"/>
  <c r="AY234" i="1"/>
  <c r="AY235" i="1"/>
  <c r="AY236" i="1"/>
  <c r="AY237" i="1"/>
  <c r="AY238" i="1"/>
  <c r="AZ238" i="1" s="1"/>
  <c r="BB238" i="1" s="1"/>
  <c r="AY239" i="1"/>
  <c r="AZ239" i="1" s="1"/>
  <c r="BB239" i="1" s="1"/>
  <c r="AY240" i="1"/>
  <c r="AZ240" i="1" s="1"/>
  <c r="BB240" i="1" s="1"/>
  <c r="AY241" i="1"/>
  <c r="AZ241" i="1" s="1"/>
  <c r="BB241" i="1" s="1"/>
  <c r="AY242" i="1"/>
  <c r="AZ242" i="1" s="1"/>
  <c r="BB242" i="1" s="1"/>
  <c r="AY243" i="1"/>
  <c r="AZ243" i="1" s="1"/>
  <c r="BB243" i="1" s="1"/>
  <c r="AY244" i="1"/>
  <c r="AZ244" i="1" s="1"/>
  <c r="BB244" i="1" s="1"/>
  <c r="AY245" i="1"/>
  <c r="AY246" i="1"/>
  <c r="AY247" i="1"/>
  <c r="AY248" i="1"/>
  <c r="AY249" i="1"/>
  <c r="AY250" i="1"/>
  <c r="AY251" i="1"/>
  <c r="AY252" i="1"/>
  <c r="AY253" i="1"/>
  <c r="AY254" i="1"/>
  <c r="AY255" i="1"/>
  <c r="AY256" i="1"/>
  <c r="AY257" i="1"/>
  <c r="AY164" i="1"/>
  <c r="BA178" i="1"/>
  <c r="BA183" i="1"/>
  <c r="BA187" i="1"/>
  <c r="BA191" i="1"/>
  <c r="BA207" i="1"/>
  <c r="BA218" i="1"/>
  <c r="BA233" i="1"/>
  <c r="AZ248" i="1"/>
  <c r="BB248" i="1" s="1"/>
  <c r="AZ249" i="1"/>
  <c r="BB249" i="1" s="1"/>
  <c r="AZ250" i="1"/>
  <c r="BB250" i="1" s="1"/>
  <c r="AZ251" i="1"/>
  <c r="BB251" i="1" s="1"/>
  <c r="AZ252" i="1"/>
  <c r="BB252" i="1" s="1"/>
  <c r="AZ253" i="1"/>
  <c r="BB253" i="1" s="1"/>
  <c r="AZ254" i="1"/>
  <c r="BB254" i="1" s="1"/>
  <c r="AZ255" i="1"/>
  <c r="BB255" i="1" s="1"/>
  <c r="AZ256" i="1"/>
  <c r="BB256" i="1" s="1"/>
  <c r="AZ257" i="1"/>
  <c r="BB257" i="1" s="1"/>
  <c r="AZ233" i="1"/>
  <c r="BB233" i="1" s="1"/>
  <c r="AZ234" i="1"/>
  <c r="BB234" i="1" s="1"/>
  <c r="AZ235" i="1"/>
  <c r="BB235" i="1" s="1"/>
  <c r="AZ236" i="1"/>
  <c r="BB236" i="1" s="1"/>
  <c r="AZ245" i="1"/>
  <c r="BB245" i="1" s="1"/>
  <c r="BC245" i="1" s="1"/>
  <c r="AZ246" i="1"/>
  <c r="BB246" i="1" s="1"/>
  <c r="AZ247" i="1"/>
  <c r="BB247" i="1" s="1"/>
  <c r="AZ207" i="1"/>
  <c r="BB207" i="1" s="1"/>
  <c r="AZ208" i="1"/>
  <c r="BB208" i="1" s="1"/>
  <c r="AZ209" i="1"/>
  <c r="BB209" i="1" s="1"/>
  <c r="AZ210" i="1"/>
  <c r="BB210" i="1" s="1"/>
  <c r="AZ218" i="1"/>
  <c r="BB218" i="1" s="1"/>
  <c r="AZ219" i="1"/>
  <c r="BB219" i="1" s="1"/>
  <c r="AZ220" i="1"/>
  <c r="BB220" i="1" s="1"/>
  <c r="AZ221" i="1"/>
  <c r="BB221" i="1" s="1"/>
  <c r="AZ165" i="1"/>
  <c r="BB165" i="1" s="1"/>
  <c r="AZ166" i="1"/>
  <c r="BB166" i="1" s="1"/>
  <c r="AZ167" i="1"/>
  <c r="BB167" i="1" s="1"/>
  <c r="AZ168" i="1"/>
  <c r="BB168" i="1" s="1"/>
  <c r="AZ169" i="1"/>
  <c r="BB169" i="1" s="1"/>
  <c r="AZ170" i="1"/>
  <c r="BB170" i="1" s="1"/>
  <c r="AZ171" i="1"/>
  <c r="BB171" i="1" s="1"/>
  <c r="AZ172" i="1"/>
  <c r="BB172" i="1" s="1"/>
  <c r="AZ173" i="1"/>
  <c r="BB173" i="1" s="1"/>
  <c r="AZ174" i="1"/>
  <c r="BB174" i="1" s="1"/>
  <c r="AZ175" i="1"/>
  <c r="BB175" i="1" s="1"/>
  <c r="AZ176" i="1"/>
  <c r="BB176" i="1" s="1"/>
  <c r="AZ177" i="1"/>
  <c r="BB177" i="1" s="1"/>
  <c r="AZ178" i="1"/>
  <c r="BB178" i="1" s="1"/>
  <c r="AZ179" i="1"/>
  <c r="BB179" i="1" s="1"/>
  <c r="AZ180" i="1"/>
  <c r="BB180" i="1" s="1"/>
  <c r="AZ181" i="1"/>
  <c r="BB181" i="1" s="1"/>
  <c r="AZ182" i="1"/>
  <c r="BB182" i="1" s="1"/>
  <c r="AZ183" i="1"/>
  <c r="BB183" i="1" s="1"/>
  <c r="AZ184" i="1"/>
  <c r="BB184" i="1" s="1"/>
  <c r="AZ185" i="1"/>
  <c r="BB185" i="1" s="1"/>
  <c r="AZ186" i="1"/>
  <c r="BB186" i="1" s="1"/>
  <c r="AZ187" i="1"/>
  <c r="BB187" i="1" s="1"/>
  <c r="AZ188" i="1"/>
  <c r="BB188" i="1" s="1"/>
  <c r="AZ189" i="1"/>
  <c r="BB189" i="1" s="1"/>
  <c r="AZ190" i="1"/>
  <c r="BB190" i="1" s="1"/>
  <c r="AZ191" i="1"/>
  <c r="BB191" i="1" s="1"/>
  <c r="AZ192" i="1"/>
  <c r="BB192" i="1" s="1"/>
  <c r="AZ193" i="1"/>
  <c r="BB193" i="1" s="1"/>
  <c r="AZ194" i="1"/>
  <c r="BB194" i="1" s="1"/>
  <c r="AZ195" i="1"/>
  <c r="BB195" i="1" s="1"/>
  <c r="AZ164" i="1"/>
  <c r="H111" i="1" l="1"/>
  <c r="H110" i="1" s="1"/>
  <c r="H130" i="1" s="1"/>
  <c r="E105" i="1"/>
  <c r="DT3" i="1"/>
  <c r="H191" i="14" s="1"/>
  <c r="BK273" i="1"/>
  <c r="BL273" i="1" s="1"/>
  <c r="BK277" i="1"/>
  <c r="BC212" i="1"/>
  <c r="BE153" i="1"/>
  <c r="F28" i="14"/>
  <c r="BC208" i="1"/>
  <c r="BC185" i="1"/>
  <c r="BC181" i="1"/>
  <c r="BE154" i="1"/>
  <c r="BE157" i="1"/>
  <c r="G402" i="1"/>
  <c r="G358" i="1"/>
  <c r="I342" i="1"/>
  <c r="I358" i="1" s="1"/>
  <c r="BE151" i="1"/>
  <c r="BE158" i="1"/>
  <c r="BC234" i="1"/>
  <c r="G401" i="1"/>
  <c r="G403" i="1"/>
  <c r="L159" i="1"/>
  <c r="L158" i="1"/>
  <c r="L160" i="1"/>
  <c r="G134" i="1"/>
  <c r="G129" i="1" s="1"/>
  <c r="G147" i="1" s="1"/>
  <c r="K159" i="1"/>
  <c r="K160" i="1"/>
  <c r="K158" i="1"/>
  <c r="BE159" i="1"/>
  <c r="BE152" i="1"/>
  <c r="BE156" i="1"/>
  <c r="BE155" i="1"/>
  <c r="BE160" i="1"/>
  <c r="BC186" i="1"/>
  <c r="BC204" i="1"/>
  <c r="BC200" i="1"/>
  <c r="BC230" i="1"/>
  <c r="BC226" i="1"/>
  <c r="G388" i="1" a="1"/>
  <c r="G388" i="1" s="1"/>
  <c r="G145" i="1"/>
  <c r="G146" i="1"/>
  <c r="H342" i="1"/>
  <c r="H403" i="1" s="1"/>
  <c r="E110" i="1"/>
  <c r="G383" i="1" a="1"/>
  <c r="G363" i="1" a="1"/>
  <c r="G159" i="1" a="1"/>
  <c r="G159" i="1" s="1"/>
  <c r="G140" i="1"/>
  <c r="G137" i="1" s="1"/>
  <c r="H134" i="1"/>
  <c r="H140" i="1"/>
  <c r="H137" i="1" s="1"/>
  <c r="H146" i="1"/>
  <c r="G154" i="1" a="1"/>
  <c r="H145" i="1"/>
  <c r="G158" i="1" a="1"/>
  <c r="CO40" i="1"/>
  <c r="CO26" i="1"/>
  <c r="CO13" i="1"/>
  <c r="CO47" i="1"/>
  <c r="CO33" i="1"/>
  <c r="CO6" i="1"/>
  <c r="CO19" i="1"/>
  <c r="BW190" i="1"/>
  <c r="BX190" i="1" s="1"/>
  <c r="BW213" i="1"/>
  <c r="BX213" i="1" s="1"/>
  <c r="BX177" i="1"/>
  <c r="BK197" i="1"/>
  <c r="BL197" i="1" s="1"/>
  <c r="BQ237" i="1"/>
  <c r="BR237" i="1" s="1"/>
  <c r="BK271" i="1"/>
  <c r="BL271" i="1" s="1"/>
  <c r="BK233" i="1"/>
  <c r="BL233" i="1" s="1"/>
  <c r="BR223" i="1"/>
  <c r="BR219" i="1"/>
  <c r="BR215" i="1"/>
  <c r="BQ181" i="1"/>
  <c r="BR181" i="1" s="1"/>
  <c r="BQ227" i="1"/>
  <c r="BR227" i="1" s="1"/>
  <c r="BR222" i="1"/>
  <c r="BR218" i="1"/>
  <c r="BL179" i="1"/>
  <c r="BW201" i="1"/>
  <c r="BX201" i="1" s="1"/>
  <c r="BK240" i="1"/>
  <c r="BL240" i="1" s="1"/>
  <c r="BK267" i="1"/>
  <c r="BL267" i="1" s="1"/>
  <c r="BR194" i="1"/>
  <c r="BW192" i="1"/>
  <c r="BX192" i="1" s="1"/>
  <c r="BQ238" i="1"/>
  <c r="BR238" i="1" s="1"/>
  <c r="BW183" i="1"/>
  <c r="BX183" i="1" s="1"/>
  <c r="BW175" i="1"/>
  <c r="BX175" i="1" s="1"/>
  <c r="BK221" i="1"/>
  <c r="BL221" i="1" s="1"/>
  <c r="BK253" i="1"/>
  <c r="BL253" i="1" s="1"/>
  <c r="BR224" i="1"/>
  <c r="BK260" i="1"/>
  <c r="BL260" i="1" s="1"/>
  <c r="BR220" i="1"/>
  <c r="BQ203" i="1"/>
  <c r="BR203" i="1" s="1"/>
  <c r="BK258" i="1"/>
  <c r="BL258" i="1" s="1"/>
  <c r="BR214" i="1"/>
  <c r="BR231" i="1"/>
  <c r="BK180" i="1"/>
  <c r="BL180" i="1" s="1"/>
  <c r="BW197" i="1"/>
  <c r="BX197" i="1" s="1"/>
  <c r="BW185" i="1"/>
  <c r="BX185" i="1" s="1"/>
  <c r="BW179" i="1"/>
  <c r="BX179" i="1" s="1"/>
  <c r="BK238" i="1"/>
  <c r="BL238" i="1" s="1"/>
  <c r="BK225" i="1"/>
  <c r="BL225" i="1" s="1"/>
  <c r="BK217" i="1"/>
  <c r="BL217" i="1" s="1"/>
  <c r="BQ233" i="1"/>
  <c r="BR233" i="1" s="1"/>
  <c r="BK264" i="1"/>
  <c r="BL264" i="1" s="1"/>
  <c r="BK256" i="1"/>
  <c r="BL256" i="1" s="1"/>
  <c r="BK215" i="1"/>
  <c r="BL215" i="1" s="1"/>
  <c r="BW180" i="1"/>
  <c r="BX180" i="1" s="1"/>
  <c r="BK227" i="1"/>
  <c r="BL227" i="1" s="1"/>
  <c r="BK220" i="1"/>
  <c r="BL220" i="1" s="1"/>
  <c r="BR213" i="1"/>
  <c r="BW184" i="1"/>
  <c r="BX184" i="1" s="1"/>
  <c r="BK223" i="1"/>
  <c r="BL223" i="1" s="1"/>
  <c r="BK261" i="1"/>
  <c r="BL261" i="1" s="1"/>
  <c r="BR216" i="1"/>
  <c r="BJ188" i="1"/>
  <c r="BK188" i="1" s="1"/>
  <c r="BL188" i="1" s="1"/>
  <c r="BK190" i="1"/>
  <c r="BL190" i="1" s="1"/>
  <c r="BK194" i="1"/>
  <c r="BL194" i="1" s="1"/>
  <c r="BK191" i="1"/>
  <c r="BL191" i="1" s="1"/>
  <c r="BK195" i="1"/>
  <c r="BL195" i="1" s="1"/>
  <c r="BR183" i="1"/>
  <c r="BP190" i="1"/>
  <c r="BQ190" i="1" s="1"/>
  <c r="BQ191" i="1"/>
  <c r="BR191" i="1" s="1"/>
  <c r="BQ195" i="1"/>
  <c r="BR195" i="1" s="1"/>
  <c r="BQ196" i="1"/>
  <c r="BR196" i="1" s="1"/>
  <c r="BQ200" i="1"/>
  <c r="BR200" i="1" s="1"/>
  <c r="BQ192" i="1"/>
  <c r="BR192" i="1" s="1"/>
  <c r="BQ197" i="1"/>
  <c r="BR197" i="1" s="1"/>
  <c r="BQ201" i="1"/>
  <c r="BR201" i="1" s="1"/>
  <c r="BX219" i="1"/>
  <c r="BV227" i="1"/>
  <c r="BW227" i="1" s="1"/>
  <c r="BW230" i="1"/>
  <c r="BX230" i="1" s="1"/>
  <c r="BW234" i="1"/>
  <c r="BX234" i="1" s="1"/>
  <c r="BW238" i="1"/>
  <c r="BX238" i="1" s="1"/>
  <c r="BW229" i="1"/>
  <c r="BX229" i="1" s="1"/>
  <c r="BW235" i="1"/>
  <c r="BX235" i="1" s="1"/>
  <c r="BW231" i="1"/>
  <c r="BX231" i="1" s="1"/>
  <c r="BW236" i="1"/>
  <c r="BX236" i="1" s="1"/>
  <c r="BW232" i="1"/>
  <c r="BX232" i="1" s="1"/>
  <c r="BW237" i="1"/>
  <c r="BX237" i="1" s="1"/>
  <c r="BK196" i="1"/>
  <c r="BL196" i="1" s="1"/>
  <c r="BQ202" i="1"/>
  <c r="BR202" i="1" s="1"/>
  <c r="BQ193" i="1"/>
  <c r="BR193" i="1" s="1"/>
  <c r="BW228" i="1"/>
  <c r="BX228" i="1" s="1"/>
  <c r="BJ174" i="1"/>
  <c r="BK174" i="1" s="1"/>
  <c r="BK177" i="1"/>
  <c r="BL177" i="1" s="1"/>
  <c r="BK181" i="1"/>
  <c r="BL181" i="1" s="1"/>
  <c r="BK185" i="1"/>
  <c r="BL185" i="1" s="1"/>
  <c r="BK178" i="1"/>
  <c r="BL178" i="1" s="1"/>
  <c r="BK182" i="1"/>
  <c r="BL182" i="1" s="1"/>
  <c r="BK186" i="1"/>
  <c r="BL186" i="1" s="1"/>
  <c r="BL234" i="1"/>
  <c r="BP174" i="1"/>
  <c r="BQ174" i="1" s="1"/>
  <c r="BQ178" i="1"/>
  <c r="BR178" i="1" s="1"/>
  <c r="BQ182" i="1"/>
  <c r="BR182" i="1" s="1"/>
  <c r="BQ186" i="1"/>
  <c r="BR186" i="1" s="1"/>
  <c r="BQ179" i="1"/>
  <c r="BR179" i="1" s="1"/>
  <c r="BQ184" i="1"/>
  <c r="BR184" i="1" s="1"/>
  <c r="BQ175" i="1"/>
  <c r="BR175" i="1" s="1"/>
  <c r="BQ180" i="1"/>
  <c r="BR180" i="1" s="1"/>
  <c r="BQ185" i="1"/>
  <c r="BR185" i="1" s="1"/>
  <c r="BX196" i="1"/>
  <c r="BV212" i="1"/>
  <c r="BW212" i="1" s="1"/>
  <c r="BW214" i="1"/>
  <c r="BX214" i="1" s="1"/>
  <c r="BW218" i="1"/>
  <c r="BX218" i="1" s="1"/>
  <c r="BW222" i="1"/>
  <c r="BX222" i="1" s="1"/>
  <c r="BW215" i="1"/>
  <c r="BX215" i="1" s="1"/>
  <c r="BW220" i="1"/>
  <c r="BX220" i="1" s="1"/>
  <c r="BW225" i="1"/>
  <c r="BX225" i="1" s="1"/>
  <c r="BW216" i="1"/>
  <c r="BX216" i="1" s="1"/>
  <c r="BW221" i="1"/>
  <c r="BX221" i="1" s="1"/>
  <c r="BW217" i="1"/>
  <c r="BX217" i="1" s="1"/>
  <c r="BW223" i="1"/>
  <c r="BX223" i="1" s="1"/>
  <c r="BK193" i="1"/>
  <c r="BL193" i="1" s="1"/>
  <c r="BK184" i="1"/>
  <c r="BL184" i="1" s="1"/>
  <c r="BK176" i="1"/>
  <c r="BL176" i="1" s="1"/>
  <c r="BQ199" i="1"/>
  <c r="BR199" i="1" s="1"/>
  <c r="BQ188" i="1"/>
  <c r="BR188" i="1" s="1"/>
  <c r="BQ177" i="1"/>
  <c r="BR177" i="1" s="1"/>
  <c r="BR212" i="1"/>
  <c r="BK192" i="1"/>
  <c r="BL192" i="1" s="1"/>
  <c r="BK183" i="1"/>
  <c r="BL183" i="1" s="1"/>
  <c r="BK175" i="1"/>
  <c r="BL175" i="1" s="1"/>
  <c r="BQ198" i="1"/>
  <c r="BR198" i="1" s="1"/>
  <c r="BQ187" i="1"/>
  <c r="BR187" i="1" s="1"/>
  <c r="BQ176" i="1"/>
  <c r="BR176" i="1" s="1"/>
  <c r="BW224" i="1"/>
  <c r="BX224" i="1" s="1"/>
  <c r="BR221" i="1"/>
  <c r="BR217" i="1"/>
  <c r="BP226" i="1"/>
  <c r="BQ226" i="1" s="1"/>
  <c r="BR226" i="1" s="1"/>
  <c r="BQ228" i="1"/>
  <c r="BR228" i="1" s="1"/>
  <c r="BQ232" i="1"/>
  <c r="BR232" i="1" s="1"/>
  <c r="BQ236" i="1"/>
  <c r="BR236" i="1" s="1"/>
  <c r="BJ229" i="1"/>
  <c r="BK229" i="1" s="1"/>
  <c r="BK231" i="1"/>
  <c r="BL231" i="1" s="1"/>
  <c r="BK235" i="1"/>
  <c r="BL235" i="1" s="1"/>
  <c r="BK239" i="1"/>
  <c r="BL239" i="1" s="1"/>
  <c r="BV189" i="1"/>
  <c r="BW189" i="1" s="1"/>
  <c r="BW191" i="1"/>
  <c r="BX191" i="1" s="1"/>
  <c r="BW195" i="1"/>
  <c r="BX195" i="1" s="1"/>
  <c r="BW199" i="1"/>
  <c r="BX199" i="1" s="1"/>
  <c r="BL254" i="1"/>
  <c r="BJ266" i="1"/>
  <c r="BK266" i="1" s="1"/>
  <c r="BK268" i="1"/>
  <c r="BL268" i="1" s="1"/>
  <c r="BK272" i="1"/>
  <c r="BL272" i="1" s="1"/>
  <c r="BK276" i="1"/>
  <c r="BL276" i="1" s="1"/>
  <c r="BW200" i="1"/>
  <c r="BX200" i="1" s="1"/>
  <c r="BW194" i="1"/>
  <c r="BX194" i="1" s="1"/>
  <c r="BK237" i="1"/>
  <c r="BL237" i="1" s="1"/>
  <c r="BK232" i="1"/>
  <c r="BL232" i="1" s="1"/>
  <c r="BQ235" i="1"/>
  <c r="BR235" i="1" s="1"/>
  <c r="BQ230" i="1"/>
  <c r="BR230" i="1" s="1"/>
  <c r="BK275" i="1"/>
  <c r="BL275" i="1" s="1"/>
  <c r="BK270" i="1"/>
  <c r="BL270" i="1" s="1"/>
  <c r="BJ212" i="1"/>
  <c r="BK212" i="1" s="1"/>
  <c r="BK214" i="1"/>
  <c r="BL214" i="1" s="1"/>
  <c r="BK218" i="1"/>
  <c r="BL218" i="1" s="1"/>
  <c r="BK222" i="1"/>
  <c r="BL222" i="1" s="1"/>
  <c r="BK226" i="1"/>
  <c r="BL226" i="1" s="1"/>
  <c r="BV174" i="1"/>
  <c r="BW174" i="1" s="1"/>
  <c r="BW178" i="1"/>
  <c r="BX178" i="1" s="1"/>
  <c r="BW182" i="1"/>
  <c r="BX182" i="1" s="1"/>
  <c r="BW186" i="1"/>
  <c r="BX186" i="1" s="1"/>
  <c r="BX233" i="1"/>
  <c r="BJ250" i="1"/>
  <c r="BK250" i="1" s="1"/>
  <c r="BK251" i="1"/>
  <c r="BL251" i="1" s="1"/>
  <c r="BK255" i="1"/>
  <c r="BL255" i="1" s="1"/>
  <c r="BK259" i="1"/>
  <c r="BL259" i="1" s="1"/>
  <c r="BK263" i="1"/>
  <c r="BL263" i="1" s="1"/>
  <c r="BL189" i="1"/>
  <c r="BW198" i="1"/>
  <c r="BX198" i="1" s="1"/>
  <c r="BW193" i="1"/>
  <c r="BX193" i="1" s="1"/>
  <c r="BW187" i="1"/>
  <c r="BX187" i="1" s="1"/>
  <c r="BW181" i="1"/>
  <c r="BX181" i="1" s="1"/>
  <c r="BW176" i="1"/>
  <c r="BX176" i="1" s="1"/>
  <c r="BK236" i="1"/>
  <c r="BL236" i="1" s="1"/>
  <c r="BK230" i="1"/>
  <c r="BL230" i="1" s="1"/>
  <c r="BK224" i="1"/>
  <c r="BL224" i="1" s="1"/>
  <c r="BK219" i="1"/>
  <c r="BL219" i="1" s="1"/>
  <c r="BK213" i="1"/>
  <c r="BL213" i="1" s="1"/>
  <c r="BL216" i="1"/>
  <c r="BQ234" i="1"/>
  <c r="BR234" i="1" s="1"/>
  <c r="BQ229" i="1"/>
  <c r="BR229" i="1" s="1"/>
  <c r="BK274" i="1"/>
  <c r="BL274" i="1" s="1"/>
  <c r="BK269" i="1"/>
  <c r="BL269" i="1" s="1"/>
  <c r="BK262" i="1"/>
  <c r="BL262" i="1" s="1"/>
  <c r="BK257" i="1"/>
  <c r="BL257" i="1" s="1"/>
  <c r="BK252" i="1"/>
  <c r="BL252" i="1" s="1"/>
  <c r="BC165" i="1"/>
  <c r="BC192" i="1"/>
  <c r="BC180" i="1"/>
  <c r="BC176" i="1"/>
  <c r="BC172" i="1"/>
  <c r="BC168" i="1"/>
  <c r="BC235" i="1"/>
  <c r="BC243" i="1"/>
  <c r="BC239" i="1"/>
  <c r="BC203" i="1"/>
  <c r="BC199" i="1"/>
  <c r="BC247" i="1"/>
  <c r="BC255" i="1"/>
  <c r="BC251" i="1"/>
  <c r="BC236" i="1"/>
  <c r="BC209" i="1"/>
  <c r="BC188" i="1"/>
  <c r="BC184" i="1"/>
  <c r="BC205" i="1"/>
  <c r="BC201" i="1"/>
  <c r="BC215" i="1"/>
  <c r="BC232" i="1"/>
  <c r="BC228" i="1"/>
  <c r="BC224" i="1"/>
  <c r="BC238" i="1"/>
  <c r="BC257" i="1"/>
  <c r="BC253" i="1"/>
  <c r="BC249" i="1"/>
  <c r="BC221" i="1"/>
  <c r="BC227" i="1"/>
  <c r="BC256" i="1"/>
  <c r="BC252" i="1"/>
  <c r="BC248" i="1"/>
  <c r="BC229" i="1"/>
  <c r="BC225" i="1"/>
  <c r="BC242" i="1"/>
  <c r="BC246" i="1"/>
  <c r="BC214" i="1"/>
  <c r="BC220" i="1"/>
  <c r="BC194" i="1"/>
  <c r="BC190" i="1"/>
  <c r="BC182" i="1"/>
  <c r="BC174" i="1"/>
  <c r="BC170" i="1"/>
  <c r="BC166" i="1"/>
  <c r="BC197" i="1"/>
  <c r="BC241" i="1"/>
  <c r="BC210" i="1"/>
  <c r="BC195" i="1"/>
  <c r="BC179" i="1"/>
  <c r="BC175" i="1"/>
  <c r="BC171" i="1"/>
  <c r="BC167" i="1"/>
  <c r="BC231" i="1"/>
  <c r="BC244" i="1"/>
  <c r="BC240" i="1"/>
  <c r="BC219" i="1"/>
  <c r="BC193" i="1"/>
  <c r="BC189" i="1"/>
  <c r="BC177" i="1"/>
  <c r="BC173" i="1"/>
  <c r="BC169" i="1"/>
  <c r="BC206" i="1"/>
  <c r="BC202" i="1"/>
  <c r="BC198" i="1"/>
  <c r="BC216" i="1"/>
  <c r="BC223" i="1"/>
  <c r="BC254" i="1"/>
  <c r="BC250" i="1"/>
  <c r="F96" i="1"/>
  <c r="G96" i="1"/>
  <c r="H96" i="1"/>
  <c r="I96" i="1"/>
  <c r="J96" i="1"/>
  <c r="K96" i="1"/>
  <c r="L96" i="1"/>
  <c r="M96" i="1"/>
  <c r="N96" i="1"/>
  <c r="O96" i="1"/>
  <c r="P96" i="1"/>
  <c r="Q96" i="1"/>
  <c r="R96" i="1"/>
  <c r="S96" i="1"/>
  <c r="T96" i="1"/>
  <c r="U96" i="1"/>
  <c r="V96" i="1"/>
  <c r="W96" i="1"/>
  <c r="X96" i="1"/>
  <c r="Y96" i="1"/>
  <c r="Z96" i="1"/>
  <c r="AA96" i="1"/>
  <c r="AB96" i="1"/>
  <c r="AC96" i="1"/>
  <c r="AD96" i="1"/>
  <c r="AE96" i="1"/>
  <c r="AF96" i="1"/>
  <c r="AG96" i="1"/>
  <c r="AH96" i="1"/>
  <c r="AI96" i="1"/>
  <c r="AJ96" i="1"/>
  <c r="AK96" i="1"/>
  <c r="AL96" i="1"/>
  <c r="AM96" i="1"/>
  <c r="AN96" i="1"/>
  <c r="AO96" i="1"/>
  <c r="AP96" i="1"/>
  <c r="AQ96" i="1"/>
  <c r="AR96" i="1"/>
  <c r="E96" i="1"/>
  <c r="F82" i="1"/>
  <c r="G82" i="1"/>
  <c r="H82" i="1"/>
  <c r="I82" i="1"/>
  <c r="J82" i="1"/>
  <c r="K82" i="1"/>
  <c r="L82" i="1"/>
  <c r="M82" i="1"/>
  <c r="N82" i="1"/>
  <c r="O82" i="1"/>
  <c r="P82" i="1"/>
  <c r="Q82" i="1"/>
  <c r="R82" i="1"/>
  <c r="S82" i="1"/>
  <c r="T82" i="1"/>
  <c r="U82" i="1"/>
  <c r="V82" i="1"/>
  <c r="W82" i="1"/>
  <c r="X82" i="1"/>
  <c r="Y82" i="1"/>
  <c r="Z82" i="1"/>
  <c r="AA82" i="1"/>
  <c r="AB82" i="1"/>
  <c r="AC82" i="1"/>
  <c r="AD82" i="1"/>
  <c r="AE82" i="1"/>
  <c r="AF82" i="1"/>
  <c r="AG82" i="1"/>
  <c r="AH82" i="1"/>
  <c r="AI82" i="1"/>
  <c r="AJ82" i="1"/>
  <c r="AK82" i="1"/>
  <c r="AL82" i="1"/>
  <c r="AM82" i="1"/>
  <c r="AN82" i="1"/>
  <c r="AO82" i="1"/>
  <c r="AP82" i="1"/>
  <c r="AQ82" i="1"/>
  <c r="AR82" i="1"/>
  <c r="E82" i="1"/>
  <c r="F66" i="1"/>
  <c r="G66" i="1"/>
  <c r="H66" i="1"/>
  <c r="I66" i="1"/>
  <c r="J66" i="1"/>
  <c r="K66" i="1"/>
  <c r="L66" i="1"/>
  <c r="M66" i="1"/>
  <c r="N66" i="1"/>
  <c r="O66" i="1"/>
  <c r="P66" i="1"/>
  <c r="Q66" i="1"/>
  <c r="R66" i="1"/>
  <c r="S66" i="1"/>
  <c r="T66" i="1"/>
  <c r="U66" i="1"/>
  <c r="V66" i="1"/>
  <c r="W66" i="1"/>
  <c r="X66" i="1"/>
  <c r="Y66" i="1"/>
  <c r="Z66" i="1"/>
  <c r="AA66" i="1"/>
  <c r="AB66" i="1"/>
  <c r="AC66" i="1"/>
  <c r="AD66" i="1"/>
  <c r="AE66" i="1"/>
  <c r="AF66" i="1"/>
  <c r="AG66" i="1"/>
  <c r="AH66" i="1"/>
  <c r="AI66" i="1"/>
  <c r="AJ66" i="1"/>
  <c r="AK66" i="1"/>
  <c r="AL66" i="1"/>
  <c r="AM66" i="1"/>
  <c r="AN66" i="1"/>
  <c r="AO66" i="1"/>
  <c r="AP66" i="1"/>
  <c r="AQ66" i="1"/>
  <c r="AR66" i="1"/>
  <c r="E66" i="1"/>
  <c r="F65" i="1"/>
  <c r="G65" i="1"/>
  <c r="H65" i="1"/>
  <c r="I65" i="1"/>
  <c r="J65" i="1"/>
  <c r="K65" i="1"/>
  <c r="L65" i="1"/>
  <c r="M65" i="1"/>
  <c r="N65" i="1"/>
  <c r="O65" i="1"/>
  <c r="P65" i="1"/>
  <c r="Q65" i="1"/>
  <c r="R65" i="1"/>
  <c r="S65" i="1"/>
  <c r="T65" i="1"/>
  <c r="U65" i="1"/>
  <c r="V65" i="1"/>
  <c r="W65" i="1"/>
  <c r="X65" i="1"/>
  <c r="Y65" i="1"/>
  <c r="Z65" i="1"/>
  <c r="AA65" i="1"/>
  <c r="AB65" i="1"/>
  <c r="AC65" i="1"/>
  <c r="AD65" i="1"/>
  <c r="AE65" i="1"/>
  <c r="AF65" i="1"/>
  <c r="AG65" i="1"/>
  <c r="AH65" i="1"/>
  <c r="AI65" i="1"/>
  <c r="AJ65" i="1"/>
  <c r="AK65" i="1"/>
  <c r="AL65" i="1"/>
  <c r="AM65" i="1"/>
  <c r="AN65" i="1"/>
  <c r="AO65" i="1"/>
  <c r="AP65" i="1"/>
  <c r="AQ65" i="1"/>
  <c r="AR65" i="1"/>
  <c r="E65" i="1"/>
  <c r="C166" i="7"/>
  <c r="C153" i="7"/>
  <c r="C154" i="7"/>
  <c r="B178" i="7" s="1"/>
  <c r="C155" i="7"/>
  <c r="B176" i="7" s="1"/>
  <c r="C156" i="7"/>
  <c r="B181" i="7" s="1"/>
  <c r="C158" i="7"/>
  <c r="B188" i="7" s="1"/>
  <c r="C159" i="7"/>
  <c r="C160" i="7"/>
  <c r="B187" i="7" s="1"/>
  <c r="C161" i="7"/>
  <c r="C163" i="7"/>
  <c r="B185" i="7" s="1"/>
  <c r="C164" i="7"/>
  <c r="C165" i="7"/>
  <c r="C152" i="7"/>
  <c r="B162" i="7"/>
  <c r="C162" i="7" s="1"/>
  <c r="B157" i="7"/>
  <c r="C157" i="7" s="1"/>
  <c r="B180" i="7" l="1"/>
  <c r="C168" i="7"/>
  <c r="B182" i="7"/>
  <c r="I401" i="1"/>
  <c r="I402" i="1"/>
  <c r="I403" i="1"/>
  <c r="K161" i="1"/>
  <c r="BF150" i="1"/>
  <c r="H28" i="14" s="1"/>
  <c r="H401" i="1"/>
  <c r="L161" i="1"/>
  <c r="H402" i="1"/>
  <c r="G404" i="1"/>
  <c r="G144" i="1"/>
  <c r="H358" i="1"/>
  <c r="H357" i="1" s="1"/>
  <c r="G387" i="1" a="1"/>
  <c r="G374" i="1" a="1"/>
  <c r="G374" i="1" s="1"/>
  <c r="G366" i="1"/>
  <c r="H366" i="1"/>
  <c r="I366" i="1"/>
  <c r="G383" i="1"/>
  <c r="G380" i="1" s="1"/>
  <c r="H380" i="1"/>
  <c r="I380" i="1"/>
  <c r="G166" i="1"/>
  <c r="G165" i="1" s="1"/>
  <c r="G363" i="1"/>
  <c r="G357" i="1" s="1"/>
  <c r="I357" i="1"/>
  <c r="E137" i="1"/>
  <c r="H129" i="1"/>
  <c r="E129" i="1" s="1"/>
  <c r="G154" i="1"/>
  <c r="G151" i="1" s="1"/>
  <c r="H151" i="1"/>
  <c r="G158" i="1"/>
  <c r="G157" i="1" s="1"/>
  <c r="H157" i="1"/>
  <c r="BX212" i="1"/>
  <c r="BY211" i="1" s="1"/>
  <c r="H168" i="14" s="1"/>
  <c r="BX174" i="1"/>
  <c r="BY174" i="1" s="1"/>
  <c r="H165" i="14" s="1"/>
  <c r="BS225" i="1"/>
  <c r="H154" i="14" s="1"/>
  <c r="BM188" i="1"/>
  <c r="H160" i="14" s="1"/>
  <c r="BL212" i="1"/>
  <c r="BM211" i="1" s="1"/>
  <c r="H162" i="14" s="1"/>
  <c r="BS212" i="1"/>
  <c r="H153" i="14" s="1"/>
  <c r="BL229" i="1"/>
  <c r="BM228" i="1" s="1"/>
  <c r="H163" i="14" s="1"/>
  <c r="BX227" i="1"/>
  <c r="BY226" i="1" s="1"/>
  <c r="H169" i="14" s="1"/>
  <c r="BR190" i="1"/>
  <c r="BS190" i="1" s="1"/>
  <c r="H157" i="14" s="1"/>
  <c r="BL250" i="1"/>
  <c r="BM249" i="1" s="1"/>
  <c r="H171" i="14" s="1"/>
  <c r="BL266" i="1"/>
  <c r="BM265" i="1" s="1"/>
  <c r="H172" i="14" s="1"/>
  <c r="BX189" i="1"/>
  <c r="BY189" i="1" s="1"/>
  <c r="H166" i="14" s="1"/>
  <c r="BR174" i="1"/>
  <c r="BS174" i="1" s="1"/>
  <c r="H156" i="14" s="1"/>
  <c r="BL174" i="1"/>
  <c r="BM174" i="1" s="1"/>
  <c r="H159" i="14" s="1"/>
  <c r="BD165" i="1"/>
  <c r="H31" i="14" s="1"/>
  <c r="BD245" i="1"/>
  <c r="H33" i="14" s="1"/>
  <c r="BD196" i="1"/>
  <c r="H32" i="14" s="1"/>
  <c r="B177" i="7"/>
  <c r="B179" i="7"/>
  <c r="B183" i="7"/>
  <c r="B186" i="7"/>
  <c r="B184" i="7"/>
  <c r="C13" i="7"/>
  <c r="I404" i="1" l="1"/>
  <c r="B146" i="27"/>
  <c r="B84" i="27" s="1"/>
  <c r="H404" i="1"/>
  <c r="H386" i="1"/>
  <c r="G387" i="1"/>
  <c r="G386" i="1" s="1"/>
  <c r="I386" i="1"/>
  <c r="E366" i="1"/>
  <c r="G395" i="1" a="1"/>
  <c r="G376" i="1" a="1"/>
  <c r="E380" i="1"/>
  <c r="H166" i="1"/>
  <c r="H165" i="1" s="1"/>
  <c r="E165" i="1" s="1"/>
  <c r="F56" i="14" s="1"/>
  <c r="H147" i="1"/>
  <c r="H144" i="1" s="1"/>
  <c r="G169" i="1" s="1" a="1"/>
  <c r="E151" i="1"/>
  <c r="E157" i="1"/>
  <c r="AE332" i="27"/>
  <c r="AE311" i="27"/>
  <c r="AG311" i="27" s="1"/>
  <c r="AF311" i="27"/>
  <c r="AE312" i="27"/>
  <c r="AG312" i="27" s="1"/>
  <c r="AF312" i="27"/>
  <c r="AE313" i="27"/>
  <c r="AG313" i="27" s="1"/>
  <c r="AF313" i="27"/>
  <c r="AE314" i="27"/>
  <c r="AG314" i="27" s="1"/>
  <c r="AF314" i="27"/>
  <c r="AE315" i="27"/>
  <c r="AG315" i="27" s="1"/>
  <c r="AF315" i="27"/>
  <c r="AE316" i="27"/>
  <c r="AG316" i="27" s="1"/>
  <c r="AF316" i="27"/>
  <c r="AE317" i="27"/>
  <c r="AG317" i="27" s="1"/>
  <c r="AF317" i="27"/>
  <c r="AE318" i="27"/>
  <c r="AG318" i="27" s="1"/>
  <c r="AF318" i="27"/>
  <c r="AF310" i="27"/>
  <c r="AE310" i="27"/>
  <c r="AG310" i="27" s="1"/>
  <c r="AE265" i="27"/>
  <c r="AF265" i="27"/>
  <c r="AE266" i="27"/>
  <c r="AF266" i="27"/>
  <c r="AE267" i="27"/>
  <c r="AF267" i="27"/>
  <c r="AE268" i="27"/>
  <c r="AF268" i="27"/>
  <c r="AE269" i="27"/>
  <c r="AF269" i="27"/>
  <c r="AE270" i="27"/>
  <c r="AF270" i="27"/>
  <c r="AE271" i="27"/>
  <c r="AF271" i="27"/>
  <c r="AE272" i="27"/>
  <c r="AF272" i="27"/>
  <c r="AE273" i="27"/>
  <c r="AF273" i="27"/>
  <c r="AE274" i="27"/>
  <c r="AF274" i="27"/>
  <c r="AE275" i="27"/>
  <c r="AF275" i="27"/>
  <c r="AE276" i="27"/>
  <c r="AF276" i="27"/>
  <c r="AE277" i="27"/>
  <c r="AF277" i="27"/>
  <c r="AE278" i="27"/>
  <c r="AF278" i="27"/>
  <c r="AG278" i="27"/>
  <c r="AE279" i="27"/>
  <c r="AF279" i="27"/>
  <c r="AH279" i="27" s="1"/>
  <c r="AE280" i="27"/>
  <c r="AF280" i="27"/>
  <c r="AH280" i="27" s="1"/>
  <c r="AE281" i="27"/>
  <c r="AF281" i="27"/>
  <c r="AH281" i="27" s="1"/>
  <c r="AE282" i="27"/>
  <c r="AF282" i="27"/>
  <c r="AH282" i="27" s="1"/>
  <c r="AE283" i="27"/>
  <c r="AF283" i="27"/>
  <c r="AH283" i="27" s="1"/>
  <c r="AE284" i="27"/>
  <c r="AF284" i="27"/>
  <c r="AH284" i="27" s="1"/>
  <c r="AE285" i="27"/>
  <c r="AF285" i="27"/>
  <c r="AH285" i="27" s="1"/>
  <c r="AE286" i="27"/>
  <c r="AF286" i="27"/>
  <c r="AH286" i="27" s="1"/>
  <c r="AE287" i="27"/>
  <c r="AF287" i="27"/>
  <c r="AH287" i="27" s="1"/>
  <c r="AE288" i="27"/>
  <c r="AF288" i="27"/>
  <c r="AG288" i="27"/>
  <c r="AE289" i="27"/>
  <c r="AF289" i="27"/>
  <c r="AH289" i="27" s="1"/>
  <c r="AG289" i="27"/>
  <c r="AE290" i="27"/>
  <c r="AF290" i="27"/>
  <c r="AH290" i="27" s="1"/>
  <c r="AG290" i="27"/>
  <c r="AE291" i="27"/>
  <c r="AF291" i="27"/>
  <c r="AH291" i="27" s="1"/>
  <c r="AG291" i="27"/>
  <c r="AE292" i="27"/>
  <c r="AF292" i="27"/>
  <c r="AG292" i="27"/>
  <c r="AE293" i="27"/>
  <c r="AF293" i="27"/>
  <c r="AH293" i="27" s="1"/>
  <c r="AG293" i="27"/>
  <c r="AE294" i="27"/>
  <c r="AF294" i="27"/>
  <c r="AH294" i="27" s="1"/>
  <c r="AG294" i="27"/>
  <c r="AE295" i="27"/>
  <c r="AF295" i="27"/>
  <c r="AH295" i="27" s="1"/>
  <c r="AG295" i="27"/>
  <c r="AE296" i="27"/>
  <c r="AF296" i="27"/>
  <c r="AH296" i="27" s="1"/>
  <c r="AG296" i="27"/>
  <c r="AE297" i="27"/>
  <c r="AF297" i="27"/>
  <c r="AH297" i="27" s="1"/>
  <c r="AG297" i="27"/>
  <c r="AE298" i="27"/>
  <c r="AF298" i="27"/>
  <c r="AH298" i="27" s="1"/>
  <c r="AG298" i="27"/>
  <c r="AE299" i="27"/>
  <c r="AF299" i="27"/>
  <c r="AH299" i="27" s="1"/>
  <c r="AG299" i="27"/>
  <c r="AE300" i="27"/>
  <c r="AF300" i="27"/>
  <c r="AH300" i="27" s="1"/>
  <c r="AG300" i="27"/>
  <c r="AE301" i="27"/>
  <c r="AF301" i="27"/>
  <c r="AH301" i="27" s="1"/>
  <c r="AG301" i="27"/>
  <c r="AF264" i="27"/>
  <c r="AE264" i="27"/>
  <c r="AF255" i="27"/>
  <c r="AH255" i="27" s="1"/>
  <c r="AG255" i="27"/>
  <c r="AF323" i="27" s="1"/>
  <c r="AF256" i="27"/>
  <c r="AE324" i="27" s="1"/>
  <c r="AG324" i="27" s="1"/>
  <c r="AG256" i="27"/>
  <c r="AF324" i="27" s="1"/>
  <c r="AG254" i="27"/>
  <c r="AF322" i="27" s="1"/>
  <c r="AF254" i="27"/>
  <c r="AF259" i="27"/>
  <c r="AG259" i="27"/>
  <c r="AF328" i="27" s="1"/>
  <c r="AF260" i="27"/>
  <c r="AE329" i="27" s="1"/>
  <c r="AG329" i="27" s="1"/>
  <c r="AG260" i="27"/>
  <c r="AF329" i="27" s="1"/>
  <c r="AF261" i="27"/>
  <c r="AH261" i="27" s="1"/>
  <c r="AG261" i="27"/>
  <c r="AF262" i="27"/>
  <c r="AH262" i="27" s="1"/>
  <c r="AG262" i="27"/>
  <c r="AG258" i="27"/>
  <c r="AF327" i="27" s="1"/>
  <c r="AF258" i="27"/>
  <c r="AE327" i="27" s="1"/>
  <c r="AE259" i="27"/>
  <c r="AE260" i="27"/>
  <c r="AE261" i="27"/>
  <c r="AE262" i="27"/>
  <c r="AE258" i="27"/>
  <c r="AF332" i="27"/>
  <c r="AI263" i="27"/>
  <c r="R331" i="27"/>
  <c r="R310" i="27"/>
  <c r="T310" i="27" s="1"/>
  <c r="S310" i="27"/>
  <c r="R311" i="27"/>
  <c r="T311" i="27" s="1"/>
  <c r="S311" i="27"/>
  <c r="R312" i="27"/>
  <c r="T312" i="27" s="1"/>
  <c r="S312" i="27"/>
  <c r="R313" i="27"/>
  <c r="T313" i="27" s="1"/>
  <c r="S313" i="27"/>
  <c r="R314" i="27"/>
  <c r="T314" i="27" s="1"/>
  <c r="S314" i="27"/>
  <c r="R315" i="27"/>
  <c r="T315" i="27" s="1"/>
  <c r="S315" i="27"/>
  <c r="R316" i="27"/>
  <c r="T316" i="27" s="1"/>
  <c r="S316" i="27"/>
  <c r="R317" i="27"/>
  <c r="T317" i="27" s="1"/>
  <c r="S317" i="27"/>
  <c r="S309" i="27"/>
  <c r="R309" i="27"/>
  <c r="T309" i="27" s="1"/>
  <c r="T278" i="27"/>
  <c r="T288" i="27"/>
  <c r="T289" i="27"/>
  <c r="T290" i="27"/>
  <c r="T291" i="27"/>
  <c r="T292" i="27"/>
  <c r="T293" i="27"/>
  <c r="T294" i="27"/>
  <c r="T295" i="27"/>
  <c r="T296" i="27"/>
  <c r="T297" i="27"/>
  <c r="T298" i="27"/>
  <c r="T299" i="27"/>
  <c r="T300" i="27"/>
  <c r="T301" i="27"/>
  <c r="S266" i="27"/>
  <c r="S267" i="27"/>
  <c r="S268" i="27"/>
  <c r="S269" i="27"/>
  <c r="S270" i="27"/>
  <c r="S271" i="27"/>
  <c r="S272" i="27"/>
  <c r="S273" i="27"/>
  <c r="S274" i="27"/>
  <c r="S275" i="27"/>
  <c r="S276" i="27"/>
  <c r="S277" i="27"/>
  <c r="S278" i="27"/>
  <c r="S279" i="27"/>
  <c r="U279" i="27" s="1"/>
  <c r="S280" i="27"/>
  <c r="U280" i="27" s="1"/>
  <c r="S281" i="27"/>
  <c r="U281" i="27" s="1"/>
  <c r="S282" i="27"/>
  <c r="U282" i="27" s="1"/>
  <c r="V282" i="27" s="1"/>
  <c r="S283" i="27"/>
  <c r="U283" i="27" s="1"/>
  <c r="S284" i="27"/>
  <c r="U284" i="27" s="1"/>
  <c r="V284" i="27" s="1"/>
  <c r="S285" i="27"/>
  <c r="U285" i="27" s="1"/>
  <c r="V285" i="27" s="1"/>
  <c r="S286" i="27"/>
  <c r="U286" i="27" s="1"/>
  <c r="V286" i="27" s="1"/>
  <c r="S287" i="27"/>
  <c r="U287" i="27" s="1"/>
  <c r="V287" i="27" s="1"/>
  <c r="S288" i="27"/>
  <c r="S289" i="27"/>
  <c r="U289" i="27" s="1"/>
  <c r="S290" i="27"/>
  <c r="U290" i="27" s="1"/>
  <c r="S291" i="27"/>
  <c r="U291" i="27" s="1"/>
  <c r="V291" i="27" s="1"/>
  <c r="S292" i="27"/>
  <c r="S293" i="27"/>
  <c r="U293" i="27" s="1"/>
  <c r="S294" i="27"/>
  <c r="U294" i="27" s="1"/>
  <c r="S295" i="27"/>
  <c r="U295" i="27" s="1"/>
  <c r="S296" i="27"/>
  <c r="U296" i="27" s="1"/>
  <c r="V296" i="27" s="1"/>
  <c r="S297" i="27"/>
  <c r="U297" i="27" s="1"/>
  <c r="S298" i="27"/>
  <c r="U298" i="27" s="1"/>
  <c r="S299" i="27"/>
  <c r="U299" i="27" s="1"/>
  <c r="S300" i="27"/>
  <c r="U300" i="27" s="1"/>
  <c r="S301" i="27"/>
  <c r="U301" i="27" s="1"/>
  <c r="R266" i="27"/>
  <c r="R267" i="27"/>
  <c r="R268" i="27"/>
  <c r="R269" i="27"/>
  <c r="R270" i="27"/>
  <c r="R271" i="27"/>
  <c r="R272" i="27"/>
  <c r="R273" i="27"/>
  <c r="R274" i="27"/>
  <c r="R275" i="27"/>
  <c r="R276" i="27"/>
  <c r="R277" i="27"/>
  <c r="R278" i="27"/>
  <c r="R279" i="27"/>
  <c r="R280" i="27"/>
  <c r="R281" i="27"/>
  <c r="R282" i="27"/>
  <c r="R283" i="27"/>
  <c r="R284" i="27"/>
  <c r="R285" i="27"/>
  <c r="R286" i="27"/>
  <c r="R287" i="27"/>
  <c r="R288" i="27"/>
  <c r="R289" i="27"/>
  <c r="R290" i="27"/>
  <c r="R291" i="27"/>
  <c r="R292" i="27"/>
  <c r="R293" i="27"/>
  <c r="R294" i="27"/>
  <c r="R295" i="27"/>
  <c r="R296" i="27"/>
  <c r="R297" i="27"/>
  <c r="R298" i="27"/>
  <c r="R299" i="27"/>
  <c r="R300" i="27"/>
  <c r="R301" i="27"/>
  <c r="R265" i="27"/>
  <c r="S265" i="27"/>
  <c r="S264" i="27"/>
  <c r="R264" i="27"/>
  <c r="S259" i="27"/>
  <c r="U259" i="27" s="1"/>
  <c r="T259" i="27"/>
  <c r="S327" i="27" s="1"/>
  <c r="S260" i="27"/>
  <c r="R328" i="27" s="1"/>
  <c r="T328" i="27" s="1"/>
  <c r="T260" i="27"/>
  <c r="S328" i="27" s="1"/>
  <c r="S261" i="27"/>
  <c r="U261" i="27" s="1"/>
  <c r="T261" i="27"/>
  <c r="S262" i="27"/>
  <c r="U262" i="27" s="1"/>
  <c r="T262" i="27"/>
  <c r="T258" i="27"/>
  <c r="S326" i="27" s="1"/>
  <c r="S258" i="27"/>
  <c r="R326" i="27" s="1"/>
  <c r="S255" i="27"/>
  <c r="R322" i="27" s="1"/>
  <c r="T322" i="27" s="1"/>
  <c r="T255" i="27"/>
  <c r="S322" i="27" s="1"/>
  <c r="S256" i="27"/>
  <c r="R323" i="27" s="1"/>
  <c r="T256" i="27"/>
  <c r="S323" i="27" s="1"/>
  <c r="T254" i="27"/>
  <c r="S321" i="27" s="1"/>
  <c r="S254" i="27"/>
  <c r="R321" i="27" s="1"/>
  <c r="T321" i="27" s="1"/>
  <c r="R259" i="27"/>
  <c r="R260" i="27"/>
  <c r="R261" i="27"/>
  <c r="R262" i="27"/>
  <c r="R258" i="27"/>
  <c r="S331" i="27"/>
  <c r="V263" i="27"/>
  <c r="G330" i="27"/>
  <c r="F330" i="27"/>
  <c r="F309" i="27"/>
  <c r="H309" i="27" s="1"/>
  <c r="G309" i="27"/>
  <c r="F310" i="27"/>
  <c r="H310" i="27" s="1"/>
  <c r="G310" i="27"/>
  <c r="F311" i="27"/>
  <c r="H311" i="27" s="1"/>
  <c r="G311" i="27"/>
  <c r="F312" i="27"/>
  <c r="H312" i="27" s="1"/>
  <c r="G312" i="27"/>
  <c r="F313" i="27"/>
  <c r="H313" i="27" s="1"/>
  <c r="G313" i="27"/>
  <c r="F314" i="27"/>
  <c r="H314" i="27" s="1"/>
  <c r="G314" i="27"/>
  <c r="F315" i="27"/>
  <c r="H315" i="27" s="1"/>
  <c r="G315" i="27"/>
  <c r="F316" i="27"/>
  <c r="H316" i="27" s="1"/>
  <c r="G316" i="27"/>
  <c r="G308" i="27"/>
  <c r="F308" i="27"/>
  <c r="H308" i="27" s="1"/>
  <c r="H278" i="27"/>
  <c r="H288" i="27"/>
  <c r="H289" i="27"/>
  <c r="H290" i="27"/>
  <c r="H291" i="27"/>
  <c r="H292" i="27"/>
  <c r="H293" i="27"/>
  <c r="H294" i="27"/>
  <c r="H295" i="27"/>
  <c r="H296" i="27"/>
  <c r="H297" i="27"/>
  <c r="H298" i="27"/>
  <c r="H299" i="27"/>
  <c r="H300" i="27"/>
  <c r="H301" i="27"/>
  <c r="G278" i="27"/>
  <c r="G279" i="27"/>
  <c r="I279" i="27" s="1"/>
  <c r="J279" i="27" s="1"/>
  <c r="G280" i="27"/>
  <c r="I280" i="27" s="1"/>
  <c r="G281" i="27"/>
  <c r="I281" i="27" s="1"/>
  <c r="J281" i="27" s="1"/>
  <c r="G282" i="27"/>
  <c r="I282" i="27" s="1"/>
  <c r="J282" i="27" s="1"/>
  <c r="G283" i="27"/>
  <c r="I283" i="27" s="1"/>
  <c r="J283" i="27" s="1"/>
  <c r="G284" i="27"/>
  <c r="I284" i="27" s="1"/>
  <c r="G285" i="27"/>
  <c r="I285" i="27" s="1"/>
  <c r="J285" i="27" s="1"/>
  <c r="G286" i="27"/>
  <c r="I286" i="27" s="1"/>
  <c r="J286" i="27" s="1"/>
  <c r="G287" i="27"/>
  <c r="I287" i="27" s="1"/>
  <c r="J287" i="27" s="1"/>
  <c r="G288" i="27"/>
  <c r="G289" i="27"/>
  <c r="I289" i="27" s="1"/>
  <c r="G290" i="27"/>
  <c r="I290" i="27" s="1"/>
  <c r="G291" i="27"/>
  <c r="I291" i="27" s="1"/>
  <c r="G292" i="27"/>
  <c r="G293" i="27"/>
  <c r="I293" i="27" s="1"/>
  <c r="G294" i="27"/>
  <c r="I294" i="27" s="1"/>
  <c r="G295" i="27"/>
  <c r="I295" i="27" s="1"/>
  <c r="G296" i="27"/>
  <c r="I296" i="27" s="1"/>
  <c r="J296" i="27" s="1"/>
  <c r="G297" i="27"/>
  <c r="I297" i="27" s="1"/>
  <c r="G298" i="27"/>
  <c r="I298" i="27" s="1"/>
  <c r="J298" i="27" s="1"/>
  <c r="G299" i="27"/>
  <c r="I299" i="27" s="1"/>
  <c r="G300" i="27"/>
  <c r="I300" i="27" s="1"/>
  <c r="G301" i="27"/>
  <c r="I301" i="27" s="1"/>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265" i="27"/>
  <c r="G265" i="27"/>
  <c r="F266" i="27"/>
  <c r="G266" i="27"/>
  <c r="F267" i="27"/>
  <c r="G267" i="27"/>
  <c r="F268" i="27"/>
  <c r="G268" i="27"/>
  <c r="F269" i="27"/>
  <c r="G269" i="27"/>
  <c r="F270" i="27"/>
  <c r="G270" i="27"/>
  <c r="F271" i="27"/>
  <c r="G271" i="27"/>
  <c r="F272" i="27"/>
  <c r="G272" i="27"/>
  <c r="F273" i="27"/>
  <c r="G273" i="27"/>
  <c r="F274" i="27"/>
  <c r="G274" i="27"/>
  <c r="F275" i="27"/>
  <c r="G275" i="27"/>
  <c r="F276" i="27"/>
  <c r="G276" i="27"/>
  <c r="F277" i="27"/>
  <c r="G277" i="27"/>
  <c r="G264" i="27"/>
  <c r="F264" i="27"/>
  <c r="G259" i="27"/>
  <c r="F326" i="27" s="1"/>
  <c r="H326" i="27" s="1"/>
  <c r="H259" i="27"/>
  <c r="G326" i="27" s="1"/>
  <c r="G260" i="27"/>
  <c r="F327" i="27" s="1"/>
  <c r="H327" i="27" s="1"/>
  <c r="H260" i="27"/>
  <c r="G327" i="27" s="1"/>
  <c r="G261" i="27"/>
  <c r="I261" i="27" s="1"/>
  <c r="H261" i="27"/>
  <c r="G262" i="27"/>
  <c r="I262" i="27" s="1"/>
  <c r="H262" i="27"/>
  <c r="H258" i="27"/>
  <c r="G325" i="27" s="1"/>
  <c r="G258" i="27"/>
  <c r="G255" i="27"/>
  <c r="H255" i="27"/>
  <c r="G321" i="27" s="1"/>
  <c r="G256" i="27"/>
  <c r="I256" i="27" s="1"/>
  <c r="H256" i="27"/>
  <c r="G322" i="27" s="1"/>
  <c r="H254" i="27"/>
  <c r="G320" i="27" s="1"/>
  <c r="G254" i="27"/>
  <c r="I254" i="27" s="1"/>
  <c r="F259" i="27"/>
  <c r="F260" i="27"/>
  <c r="F261" i="27"/>
  <c r="F262" i="27"/>
  <c r="F258" i="27"/>
  <c r="J263" i="27"/>
  <c r="BQ247" i="27"/>
  <c r="AR247" i="27"/>
  <c r="BQ226" i="27"/>
  <c r="BS226" i="27" s="1"/>
  <c r="BR226" i="27"/>
  <c r="BQ227" i="27"/>
  <c r="BS227" i="27" s="1"/>
  <c r="BR227" i="27"/>
  <c r="BQ228" i="27"/>
  <c r="BS228" i="27" s="1"/>
  <c r="BR228" i="27"/>
  <c r="BQ229" i="27"/>
  <c r="BS229" i="27" s="1"/>
  <c r="BR229" i="27"/>
  <c r="BQ230" i="27"/>
  <c r="BS230" i="27" s="1"/>
  <c r="BR230" i="27"/>
  <c r="BQ231" i="27"/>
  <c r="BS231" i="27" s="1"/>
  <c r="BR231" i="27"/>
  <c r="BQ232" i="27"/>
  <c r="BS232" i="27" s="1"/>
  <c r="BR232" i="27"/>
  <c r="BQ233" i="27"/>
  <c r="BS233" i="27" s="1"/>
  <c r="BR233" i="27"/>
  <c r="BR225" i="27"/>
  <c r="BQ225" i="27"/>
  <c r="BS225" i="27" s="1"/>
  <c r="BR196" i="27"/>
  <c r="BT196" i="27" s="1"/>
  <c r="BR197" i="27"/>
  <c r="BT197" i="27" s="1"/>
  <c r="BR198" i="27"/>
  <c r="BT198" i="27" s="1"/>
  <c r="BR199" i="27"/>
  <c r="BT199" i="27" s="1"/>
  <c r="BR200" i="27"/>
  <c r="BT200" i="27" s="1"/>
  <c r="BR201" i="27"/>
  <c r="BT201" i="27" s="1"/>
  <c r="BR202" i="27"/>
  <c r="BT202" i="27" s="1"/>
  <c r="BR203" i="27"/>
  <c r="BT203" i="27" s="1"/>
  <c r="BR204" i="27"/>
  <c r="BT204" i="27" s="1"/>
  <c r="BR205" i="27"/>
  <c r="BS205" i="27"/>
  <c r="BR206" i="27"/>
  <c r="BT206" i="27" s="1"/>
  <c r="BS206" i="27"/>
  <c r="BR207" i="27"/>
  <c r="BS207" i="27"/>
  <c r="BR208" i="27"/>
  <c r="BS208" i="27"/>
  <c r="BR209" i="27"/>
  <c r="BS209" i="27"/>
  <c r="BR210" i="27"/>
  <c r="BS210" i="27"/>
  <c r="BR211" i="27"/>
  <c r="BS211" i="27"/>
  <c r="BR212" i="27"/>
  <c r="BS212" i="27"/>
  <c r="BR213" i="27"/>
  <c r="BS213" i="27"/>
  <c r="BR214" i="27"/>
  <c r="BS214" i="27"/>
  <c r="BR215" i="27"/>
  <c r="BS215" i="27"/>
  <c r="BR216" i="27"/>
  <c r="BS216" i="27"/>
  <c r="BR217" i="27"/>
  <c r="BS217" i="27"/>
  <c r="BR218" i="27"/>
  <c r="BS218" i="27"/>
  <c r="BS195" i="27"/>
  <c r="BU195" i="27" s="1"/>
  <c r="BR195" i="27"/>
  <c r="BQ183" i="27"/>
  <c r="BR183" i="27"/>
  <c r="BQ184" i="27"/>
  <c r="BR184" i="27"/>
  <c r="BQ185" i="27"/>
  <c r="BR185" i="27"/>
  <c r="BQ186" i="27"/>
  <c r="BR186" i="27"/>
  <c r="BQ187" i="27"/>
  <c r="BR187" i="27"/>
  <c r="BQ188" i="27"/>
  <c r="BR188" i="27"/>
  <c r="BQ189" i="27"/>
  <c r="BR189" i="27"/>
  <c r="BQ190" i="27"/>
  <c r="BR190" i="27"/>
  <c r="BQ191" i="27"/>
  <c r="BR191" i="27"/>
  <c r="BQ192" i="27"/>
  <c r="BR192" i="27"/>
  <c r="BQ193" i="27"/>
  <c r="BR193" i="27"/>
  <c r="BQ194" i="27"/>
  <c r="BR194" i="27"/>
  <c r="BR182" i="27"/>
  <c r="BQ182" i="27"/>
  <c r="BR177" i="27"/>
  <c r="BS177" i="27"/>
  <c r="BR243" i="27" s="1"/>
  <c r="BR178" i="27"/>
  <c r="BQ244" i="27" s="1"/>
  <c r="BS244" i="27" s="1"/>
  <c r="BS178" i="27"/>
  <c r="BR244" i="27" s="1"/>
  <c r="BR179" i="27"/>
  <c r="BT179" i="27" s="1"/>
  <c r="BS179" i="27"/>
  <c r="BR180" i="27"/>
  <c r="BT180" i="27" s="1"/>
  <c r="BS180" i="27"/>
  <c r="BS176" i="27"/>
  <c r="BR242" i="27" s="1"/>
  <c r="BR176" i="27"/>
  <c r="BQ242" i="27" s="1"/>
  <c r="BS174" i="27"/>
  <c r="BR238" i="27" s="1"/>
  <c r="BS175" i="27"/>
  <c r="BR239" i="27" s="1"/>
  <c r="BS173" i="27"/>
  <c r="BR237" i="27" s="1"/>
  <c r="BR174" i="27"/>
  <c r="BR175" i="27"/>
  <c r="BQ239" i="27" s="1"/>
  <c r="BS239" i="27" s="1"/>
  <c r="BR173" i="27"/>
  <c r="BQ237" i="27" s="1"/>
  <c r="BS237" i="27" s="1"/>
  <c r="BQ177" i="27"/>
  <c r="BQ178" i="27"/>
  <c r="BQ179" i="27"/>
  <c r="BQ180" i="27"/>
  <c r="BQ176" i="27"/>
  <c r="BE230" i="27"/>
  <c r="BF230" i="27"/>
  <c r="BG230" i="27"/>
  <c r="BH230" i="27"/>
  <c r="BI230" i="27"/>
  <c r="BJ230" i="27"/>
  <c r="BK230" i="27"/>
  <c r="BL230" i="27"/>
  <c r="BM230" i="27"/>
  <c r="BN230" i="27"/>
  <c r="BO230" i="27"/>
  <c r="BD230" i="27"/>
  <c r="BE226" i="27"/>
  <c r="BF226" i="27"/>
  <c r="BG226" i="27"/>
  <c r="BH226" i="27"/>
  <c r="BI226" i="27"/>
  <c r="BJ226" i="27"/>
  <c r="BK226" i="27"/>
  <c r="BL226" i="27"/>
  <c r="BM226" i="27"/>
  <c r="BN226" i="27"/>
  <c r="BO226" i="27"/>
  <c r="BD226" i="27"/>
  <c r="BE216" i="27"/>
  <c r="BF216" i="27"/>
  <c r="BG216" i="27"/>
  <c r="BH216" i="27"/>
  <c r="BI216" i="27"/>
  <c r="BJ216" i="27"/>
  <c r="BK216" i="27"/>
  <c r="BL216" i="27"/>
  <c r="BM216" i="27"/>
  <c r="BN216" i="27"/>
  <c r="BO216" i="27"/>
  <c r="BD216" i="27"/>
  <c r="BO209" i="27"/>
  <c r="BN209" i="27"/>
  <c r="BM209" i="27"/>
  <c r="BL209" i="27"/>
  <c r="BE209" i="27"/>
  <c r="BF209" i="27"/>
  <c r="BG209" i="27"/>
  <c r="BH209" i="27"/>
  <c r="BI209" i="27"/>
  <c r="BJ209" i="27"/>
  <c r="BK209" i="27"/>
  <c r="BD209" i="27"/>
  <c r="BE201" i="27"/>
  <c r="BF201" i="27"/>
  <c r="BG201" i="27"/>
  <c r="BH201" i="27"/>
  <c r="BI201" i="27"/>
  <c r="BJ201" i="27"/>
  <c r="BK201" i="27"/>
  <c r="BL201" i="27"/>
  <c r="BM201" i="27"/>
  <c r="BN201" i="27"/>
  <c r="BO201" i="27"/>
  <c r="BD201" i="27"/>
  <c r="BE204" i="27"/>
  <c r="BF204" i="27"/>
  <c r="BG204" i="27"/>
  <c r="BH204" i="27"/>
  <c r="BI204" i="27"/>
  <c r="BJ204" i="27"/>
  <c r="BK204" i="27"/>
  <c r="BL204" i="27"/>
  <c r="BM204" i="27"/>
  <c r="BN204" i="27"/>
  <c r="BO204" i="27"/>
  <c r="BD204" i="27"/>
  <c r="BE203" i="27"/>
  <c r="BF203" i="27"/>
  <c r="BG203" i="27"/>
  <c r="BH203" i="27"/>
  <c r="BI203" i="27"/>
  <c r="BJ203" i="27"/>
  <c r="BK203" i="27"/>
  <c r="BL203" i="27"/>
  <c r="BM203" i="27"/>
  <c r="BN203" i="27"/>
  <c r="BO203" i="27"/>
  <c r="BO202" i="27" s="1"/>
  <c r="BD203" i="27"/>
  <c r="BD202" i="27" s="1"/>
  <c r="BE190" i="27"/>
  <c r="BF190" i="27"/>
  <c r="BG190" i="27"/>
  <c r="BH190" i="27"/>
  <c r="BI190" i="27"/>
  <c r="BJ190" i="27"/>
  <c r="BK190" i="27"/>
  <c r="BK188" i="27" s="1"/>
  <c r="BL190" i="27"/>
  <c r="BL188" i="27" s="1"/>
  <c r="BM190" i="27"/>
  <c r="BM188" i="27" s="1"/>
  <c r="BN190" i="27"/>
  <c r="BN188" i="27" s="1"/>
  <c r="BO190" i="27"/>
  <c r="BO188" i="27" s="1"/>
  <c r="BD190" i="27"/>
  <c r="BE185" i="27"/>
  <c r="BF185" i="27"/>
  <c r="BG185" i="27"/>
  <c r="BH185" i="27"/>
  <c r="BI185" i="27"/>
  <c r="BJ185" i="27"/>
  <c r="BK185" i="27"/>
  <c r="BK183" i="27" s="1"/>
  <c r="BL185" i="27"/>
  <c r="BM185" i="27"/>
  <c r="BN185" i="27"/>
  <c r="BO185" i="27"/>
  <c r="BD185" i="27"/>
  <c r="BE180" i="27"/>
  <c r="BF180" i="27"/>
  <c r="BG180" i="27"/>
  <c r="BH180" i="27"/>
  <c r="BI180" i="27"/>
  <c r="BJ180" i="27"/>
  <c r="BK180" i="27"/>
  <c r="BL180" i="27"/>
  <c r="BM180" i="27"/>
  <c r="BN180" i="27"/>
  <c r="BO180" i="27"/>
  <c r="BD180" i="27"/>
  <c r="BE179" i="27"/>
  <c r="BF179" i="27"/>
  <c r="BG179" i="27"/>
  <c r="BH179" i="27"/>
  <c r="BI179" i="27"/>
  <c r="BI178" i="27" s="1"/>
  <c r="BJ179" i="27"/>
  <c r="BK179" i="27"/>
  <c r="BL179" i="27"/>
  <c r="BM179" i="27"/>
  <c r="BN179" i="27"/>
  <c r="BO179" i="27"/>
  <c r="BO178" i="27" s="1"/>
  <c r="BD179" i="27"/>
  <c r="BE172" i="27"/>
  <c r="BF172" i="27"/>
  <c r="BG172" i="27"/>
  <c r="BH172" i="27"/>
  <c r="BI172" i="27"/>
  <c r="BJ172" i="27"/>
  <c r="BK172" i="27"/>
  <c r="BL172" i="27"/>
  <c r="BM172" i="27"/>
  <c r="BN172" i="27"/>
  <c r="BO172" i="27"/>
  <c r="BD172" i="27"/>
  <c r="BE175" i="27"/>
  <c r="BF175" i="27"/>
  <c r="BG175" i="27"/>
  <c r="BH175" i="27"/>
  <c r="BI175" i="27"/>
  <c r="BJ175" i="27"/>
  <c r="BK175" i="27"/>
  <c r="BL175" i="27"/>
  <c r="BM175" i="27"/>
  <c r="BN175" i="27"/>
  <c r="BO175" i="27"/>
  <c r="BD175" i="27"/>
  <c r="BE174" i="27"/>
  <c r="BF174" i="27"/>
  <c r="BG174" i="27"/>
  <c r="BG173" i="27" s="1"/>
  <c r="BH174" i="27"/>
  <c r="BI174" i="27"/>
  <c r="BJ174" i="27"/>
  <c r="BK174" i="27"/>
  <c r="BL174" i="27"/>
  <c r="BM174" i="27"/>
  <c r="BN174" i="27"/>
  <c r="BO174" i="27"/>
  <c r="BD174" i="27"/>
  <c r="BD173" i="27" s="1"/>
  <c r="BR247" i="27"/>
  <c r="BB238" i="27"/>
  <c r="BB231" i="27"/>
  <c r="BB226" i="27"/>
  <c r="BT218" i="27"/>
  <c r="BB218" i="27"/>
  <c r="BT217" i="27"/>
  <c r="BO217" i="27"/>
  <c r="BN217" i="27"/>
  <c r="BM217" i="27"/>
  <c r="BL217" i="27"/>
  <c r="BK217" i="27"/>
  <c r="BJ217" i="27"/>
  <c r="BI217" i="27"/>
  <c r="BH217" i="27"/>
  <c r="BG217" i="27"/>
  <c r="BF217" i="27"/>
  <c r="BE217" i="27"/>
  <c r="BD217" i="27"/>
  <c r="BB217" i="27"/>
  <c r="BT216" i="27"/>
  <c r="BB216" i="27"/>
  <c r="BB230" i="27" s="1"/>
  <c r="BT215" i="27"/>
  <c r="BT214" i="27"/>
  <c r="BT213" i="27"/>
  <c r="BT212" i="27"/>
  <c r="BT211" i="27"/>
  <c r="BT210" i="27"/>
  <c r="BB210" i="27"/>
  <c r="BT209" i="27"/>
  <c r="BB209" i="27"/>
  <c r="BB211" i="27" s="1"/>
  <c r="BT208" i="27"/>
  <c r="BB208" i="27"/>
  <c r="BT207" i="27"/>
  <c r="BB204" i="27"/>
  <c r="BB203" i="27"/>
  <c r="BB190" i="27"/>
  <c r="BJ189" i="27"/>
  <c r="BI189" i="27"/>
  <c r="BH189" i="27"/>
  <c r="BG189" i="27"/>
  <c r="BF189" i="27"/>
  <c r="BE189" i="27"/>
  <c r="BD189" i="27"/>
  <c r="BB189" i="27"/>
  <c r="BB185" i="27"/>
  <c r="BB183" i="27" s="1"/>
  <c r="BO184" i="27"/>
  <c r="BN184" i="27"/>
  <c r="BM184" i="27"/>
  <c r="BL184" i="27"/>
  <c r="BJ184" i="27"/>
  <c r="BI184" i="27"/>
  <c r="BH184" i="27"/>
  <c r="BG184" i="27"/>
  <c r="BF184" i="27"/>
  <c r="BE184" i="27"/>
  <c r="BD184" i="27"/>
  <c r="BU181" i="27"/>
  <c r="BB179" i="27"/>
  <c r="BB175" i="27"/>
  <c r="BB174" i="27"/>
  <c r="AS247" i="27"/>
  <c r="AS226" i="27"/>
  <c r="AS227" i="27"/>
  <c r="AS228" i="27"/>
  <c r="AS229" i="27"/>
  <c r="AS230" i="27"/>
  <c r="AS231" i="27"/>
  <c r="AS232" i="27"/>
  <c r="AS233" i="27"/>
  <c r="AS225" i="27"/>
  <c r="AR226" i="27"/>
  <c r="AT226" i="27" s="1"/>
  <c r="AR227" i="27"/>
  <c r="AT227" i="27" s="1"/>
  <c r="AR228" i="27"/>
  <c r="AT228" i="27" s="1"/>
  <c r="AR229" i="27"/>
  <c r="AT229" i="27" s="1"/>
  <c r="AR230" i="27"/>
  <c r="AT230" i="27" s="1"/>
  <c r="AR231" i="27"/>
  <c r="AT231" i="27" s="1"/>
  <c r="AR232" i="27"/>
  <c r="AT232" i="27" s="1"/>
  <c r="AR233" i="27"/>
  <c r="AT233" i="27" s="1"/>
  <c r="AR225" i="27"/>
  <c r="AT225" i="27" s="1"/>
  <c r="AS207" i="27"/>
  <c r="AS208" i="27"/>
  <c r="AS209" i="27"/>
  <c r="AS210" i="27"/>
  <c r="AS211" i="27"/>
  <c r="AS212" i="27"/>
  <c r="AS213" i="27"/>
  <c r="AS214" i="27"/>
  <c r="AS215" i="27"/>
  <c r="AS216" i="27"/>
  <c r="AS217" i="27"/>
  <c r="AS218" i="27"/>
  <c r="AT195" i="27"/>
  <c r="AV195" i="27" s="1"/>
  <c r="AT205" i="27"/>
  <c r="AT206" i="27"/>
  <c r="AT207" i="27"/>
  <c r="AT208" i="27"/>
  <c r="AT209" i="27"/>
  <c r="AT210" i="27"/>
  <c r="AT211" i="27"/>
  <c r="AT212" i="27"/>
  <c r="AT213" i="27"/>
  <c r="AT214" i="27"/>
  <c r="AT215" i="27"/>
  <c r="AT216" i="27"/>
  <c r="AT217" i="27"/>
  <c r="AT218" i="27"/>
  <c r="AS185" i="27"/>
  <c r="AS186" i="27"/>
  <c r="AS187" i="27"/>
  <c r="AS188" i="27"/>
  <c r="AS189" i="27"/>
  <c r="AS190" i="27"/>
  <c r="AS191" i="27"/>
  <c r="AS192" i="27"/>
  <c r="AS193" i="27"/>
  <c r="AS194" i="27"/>
  <c r="AS195" i="27"/>
  <c r="AS196" i="27"/>
  <c r="AU196" i="27" s="1"/>
  <c r="AS197" i="27"/>
  <c r="AU197" i="27" s="1"/>
  <c r="AS198" i="27"/>
  <c r="AU198" i="27" s="1"/>
  <c r="AS199" i="27"/>
  <c r="AU199" i="27" s="1"/>
  <c r="AS200" i="27"/>
  <c r="AU200" i="27" s="1"/>
  <c r="AS201" i="27"/>
  <c r="AU201" i="27" s="1"/>
  <c r="AS202" i="27"/>
  <c r="AU202" i="27" s="1"/>
  <c r="AS203" i="27"/>
  <c r="AU203" i="27" s="1"/>
  <c r="AS204" i="27"/>
  <c r="AU204" i="27" s="1"/>
  <c r="AS205" i="27"/>
  <c r="AS206" i="27"/>
  <c r="AU206" i="27" s="1"/>
  <c r="AR183" i="27"/>
  <c r="AS183" i="27"/>
  <c r="AR184" i="27"/>
  <c r="AS184" i="27"/>
  <c r="AR185" i="27"/>
  <c r="AR186" i="27"/>
  <c r="AR187" i="27"/>
  <c r="AR188" i="27"/>
  <c r="AR189" i="27"/>
  <c r="AR190" i="27"/>
  <c r="AR191" i="27"/>
  <c r="AR192" i="27"/>
  <c r="AR193" i="27"/>
  <c r="AS182" i="27"/>
  <c r="AR182" i="27"/>
  <c r="AT177" i="27"/>
  <c r="AS243" i="27" s="1"/>
  <c r="AT178" i="27"/>
  <c r="AS244" i="27" s="1"/>
  <c r="AT179" i="27"/>
  <c r="AT180" i="27"/>
  <c r="AT176" i="27"/>
  <c r="AS242" i="27" s="1"/>
  <c r="AS177" i="27"/>
  <c r="AU177" i="27" s="1"/>
  <c r="AS178" i="27"/>
  <c r="AS179" i="27"/>
  <c r="AU179" i="27" s="1"/>
  <c r="AS180" i="27"/>
  <c r="AU180" i="27" s="1"/>
  <c r="AS176" i="27"/>
  <c r="AR177" i="27"/>
  <c r="AR178" i="27"/>
  <c r="AR179" i="27"/>
  <c r="AR180" i="27"/>
  <c r="AR176" i="27"/>
  <c r="AS174" i="27"/>
  <c r="AT174" i="27"/>
  <c r="AS238" i="27" s="1"/>
  <c r="AS175" i="27"/>
  <c r="AT175" i="27"/>
  <c r="AT173" i="27"/>
  <c r="AS173" i="27"/>
  <c r="AF230" i="27"/>
  <c r="AG230" i="27"/>
  <c r="AH230" i="27"/>
  <c r="AI230" i="27"/>
  <c r="AJ230" i="27"/>
  <c r="AK230" i="27"/>
  <c r="AL230" i="27"/>
  <c r="AM230" i="27"/>
  <c r="AN230" i="27"/>
  <c r="AO230" i="27"/>
  <c r="AP230" i="27"/>
  <c r="AE230" i="27"/>
  <c r="AF226" i="27"/>
  <c r="AG226" i="27"/>
  <c r="AH226" i="27"/>
  <c r="AI226" i="27"/>
  <c r="AJ226" i="27"/>
  <c r="AK226" i="27"/>
  <c r="AL226" i="27"/>
  <c r="AM226" i="27"/>
  <c r="AN226" i="27"/>
  <c r="AO226" i="27"/>
  <c r="AP226" i="27"/>
  <c r="AE226" i="27"/>
  <c r="AF216" i="27"/>
  <c r="AG216" i="27"/>
  <c r="AH216" i="27"/>
  <c r="AI216" i="27"/>
  <c r="AJ216" i="27"/>
  <c r="AK216" i="27"/>
  <c r="AL216" i="27"/>
  <c r="AM216" i="27"/>
  <c r="AN216" i="27"/>
  <c r="AO216" i="27"/>
  <c r="AP216" i="27"/>
  <c r="AE216" i="27"/>
  <c r="AN209" i="27"/>
  <c r="AM209" i="27"/>
  <c r="O209" i="27"/>
  <c r="N209" i="27"/>
  <c r="O283" i="1"/>
  <c r="P283" i="1"/>
  <c r="AF201" i="27"/>
  <c r="AG201" i="27"/>
  <c r="AH201" i="27"/>
  <c r="AI201" i="27"/>
  <c r="AJ201" i="27"/>
  <c r="AK201" i="27"/>
  <c r="AL201" i="27"/>
  <c r="AM201" i="27"/>
  <c r="AN201" i="27"/>
  <c r="AO201" i="27"/>
  <c r="AP201" i="27"/>
  <c r="AE201" i="27"/>
  <c r="AF209" i="27"/>
  <c r="AG209" i="27"/>
  <c r="AH209" i="27"/>
  <c r="AI209" i="27"/>
  <c r="AJ209" i="27"/>
  <c r="AK209" i="27"/>
  <c r="AL209" i="27"/>
  <c r="AO209" i="27"/>
  <c r="AP209" i="27"/>
  <c r="AE209" i="27"/>
  <c r="AF204" i="27"/>
  <c r="AG204" i="27"/>
  <c r="AH204" i="27"/>
  <c r="AI204" i="27"/>
  <c r="AJ204" i="27"/>
  <c r="AK204" i="27"/>
  <c r="AL204" i="27"/>
  <c r="AM204" i="27"/>
  <c r="AN204" i="27"/>
  <c r="AO204" i="27"/>
  <c r="AP204" i="27"/>
  <c r="AE204" i="27"/>
  <c r="AF203" i="27"/>
  <c r="AG203" i="27"/>
  <c r="AH203" i="27"/>
  <c r="AI203" i="27"/>
  <c r="AJ203" i="27"/>
  <c r="AK203" i="27"/>
  <c r="AL203" i="27"/>
  <c r="AM203" i="27"/>
  <c r="AN203" i="27"/>
  <c r="AO203" i="27"/>
  <c r="AO202" i="27" s="1"/>
  <c r="AP203" i="27"/>
  <c r="AP202" i="27" s="1"/>
  <c r="AE203" i="27"/>
  <c r="AF190" i="27"/>
  <c r="AG190" i="27"/>
  <c r="AH190" i="27"/>
  <c r="AI190" i="27"/>
  <c r="AJ190" i="27"/>
  <c r="AK190" i="27"/>
  <c r="AL190" i="27"/>
  <c r="AL188" i="27" s="1"/>
  <c r="AM190" i="27"/>
  <c r="AM188" i="27" s="1"/>
  <c r="AN190" i="27"/>
  <c r="AN188" i="27" s="1"/>
  <c r="AO190" i="27"/>
  <c r="AO188" i="27" s="1"/>
  <c r="AP190" i="27"/>
  <c r="AP188" i="27" s="1"/>
  <c r="AE190" i="27"/>
  <c r="AF185" i="27"/>
  <c r="AG185" i="27"/>
  <c r="AH185" i="27"/>
  <c r="AI185" i="27"/>
  <c r="AJ185" i="27"/>
  <c r="AK185" i="27"/>
  <c r="AL185" i="27"/>
  <c r="AL183" i="27" s="1"/>
  <c r="AM185" i="27"/>
  <c r="AN185" i="27"/>
  <c r="AO185" i="27"/>
  <c r="AP185" i="27"/>
  <c r="AE185" i="27"/>
  <c r="AF180" i="27"/>
  <c r="AG180" i="27"/>
  <c r="AH180" i="27"/>
  <c r="AI180" i="27"/>
  <c r="AJ180" i="27"/>
  <c r="AK180" i="27"/>
  <c r="AL180" i="27"/>
  <c r="AM180" i="27"/>
  <c r="AN180" i="27"/>
  <c r="AO180" i="27"/>
  <c r="AP180" i="27"/>
  <c r="AE180" i="27"/>
  <c r="AF179" i="27"/>
  <c r="AG179" i="27"/>
  <c r="AH179" i="27"/>
  <c r="AI179" i="27"/>
  <c r="AJ179" i="27"/>
  <c r="AK179" i="27"/>
  <c r="AL179" i="27"/>
  <c r="AM179" i="27"/>
  <c r="AN179" i="27"/>
  <c r="AO179" i="27"/>
  <c r="AP179" i="27"/>
  <c r="AE179" i="27"/>
  <c r="AF175" i="27"/>
  <c r="AG175" i="27"/>
  <c r="AH175" i="27"/>
  <c r="AI175" i="27"/>
  <c r="AJ175" i="27"/>
  <c r="AK175" i="27"/>
  <c r="AL175" i="27"/>
  <c r="AM175" i="27"/>
  <c r="AN175" i="27"/>
  <c r="AO175" i="27"/>
  <c r="AP175" i="27"/>
  <c r="AE175" i="27"/>
  <c r="AF174" i="27"/>
  <c r="AG174" i="27"/>
  <c r="AH174" i="27"/>
  <c r="AI174" i="27"/>
  <c r="AJ174" i="27"/>
  <c r="AK174" i="27"/>
  <c r="AL174" i="27"/>
  <c r="AM174" i="27"/>
  <c r="AN174" i="27"/>
  <c r="AN173" i="27" s="1"/>
  <c r="AO174" i="27"/>
  <c r="AP174" i="27"/>
  <c r="AE174" i="27"/>
  <c r="AC238" i="27"/>
  <c r="AC231" i="27"/>
  <c r="AC226" i="27"/>
  <c r="AU218" i="27"/>
  <c r="AC218" i="27"/>
  <c r="AU217" i="27"/>
  <c r="AP217" i="27"/>
  <c r="AO217" i="27"/>
  <c r="AN217" i="27"/>
  <c r="AM217" i="27"/>
  <c r="AL217" i="27"/>
  <c r="AK217" i="27"/>
  <c r="AJ217" i="27"/>
  <c r="AI217" i="27"/>
  <c r="AH217" i="27"/>
  <c r="AG217" i="27"/>
  <c r="AF217" i="27"/>
  <c r="AE217" i="27"/>
  <c r="AC217" i="27"/>
  <c r="AU216" i="27"/>
  <c r="AC216" i="27"/>
  <c r="AC230" i="27" s="1"/>
  <c r="AU215" i="27"/>
  <c r="AU214" i="27"/>
  <c r="AU213" i="27"/>
  <c r="AU212" i="27"/>
  <c r="AU211" i="27"/>
  <c r="AU210" i="27"/>
  <c r="AC210" i="27"/>
  <c r="AU209" i="27"/>
  <c r="AC209" i="27"/>
  <c r="AC211" i="27" s="1"/>
  <c r="AU208" i="27"/>
  <c r="AC208" i="27"/>
  <c r="AU207" i="27"/>
  <c r="AC204" i="27"/>
  <c r="AC203" i="27"/>
  <c r="AR194" i="27"/>
  <c r="AC190" i="27"/>
  <c r="AK189" i="27"/>
  <c r="AJ189" i="27"/>
  <c r="AI189" i="27"/>
  <c r="AH189" i="27"/>
  <c r="AG189" i="27"/>
  <c r="AF189" i="27"/>
  <c r="AE189" i="27"/>
  <c r="AC189" i="27"/>
  <c r="AC185" i="27"/>
  <c r="AC183" i="27" s="1"/>
  <c r="AP184" i="27"/>
  <c r="AO184" i="27"/>
  <c r="AN184" i="27"/>
  <c r="AM184" i="27"/>
  <c r="AK184" i="27"/>
  <c r="AJ184" i="27"/>
  <c r="AI184" i="27"/>
  <c r="AH184" i="27"/>
  <c r="AG184" i="27"/>
  <c r="AF184" i="27"/>
  <c r="AE184" i="27"/>
  <c r="AV181" i="27"/>
  <c r="AC179" i="27"/>
  <c r="AC175" i="27"/>
  <c r="AC174" i="27"/>
  <c r="AP172" i="27"/>
  <c r="AO172" i="27"/>
  <c r="AN172" i="27"/>
  <c r="AM172" i="27"/>
  <c r="AL172" i="27"/>
  <c r="AK172" i="27"/>
  <c r="AJ172" i="27"/>
  <c r="AI172" i="27"/>
  <c r="AH172" i="27"/>
  <c r="AG172" i="27"/>
  <c r="AF172" i="27"/>
  <c r="AE172" i="27"/>
  <c r="T249" i="27"/>
  <c r="S249" i="27"/>
  <c r="T228" i="27"/>
  <c r="T229" i="27"/>
  <c r="T230" i="27"/>
  <c r="T231" i="27"/>
  <c r="T232" i="27"/>
  <c r="T233" i="27"/>
  <c r="T234" i="27"/>
  <c r="T235" i="27"/>
  <c r="T227" i="27"/>
  <c r="S228" i="27"/>
  <c r="S229" i="27"/>
  <c r="S230" i="27"/>
  <c r="S231" i="27"/>
  <c r="S232" i="27"/>
  <c r="S233" i="27"/>
  <c r="S234" i="27"/>
  <c r="S235" i="27"/>
  <c r="S227" i="27"/>
  <c r="U227" i="27" s="1"/>
  <c r="BP91" i="1"/>
  <c r="BS91" i="1" s="1"/>
  <c r="BP92" i="1"/>
  <c r="BS92" i="1" s="1"/>
  <c r="BP93" i="1"/>
  <c r="BS93" i="1" s="1"/>
  <c r="BP94" i="1"/>
  <c r="BS94" i="1" s="1"/>
  <c r="BP95" i="1"/>
  <c r="BS95" i="1" s="1"/>
  <c r="BP96" i="1"/>
  <c r="BS96" i="1" s="1"/>
  <c r="BP97" i="1"/>
  <c r="BS97" i="1" s="1"/>
  <c r="BP98" i="1"/>
  <c r="BS98" i="1" s="1"/>
  <c r="BP99" i="1"/>
  <c r="BS99" i="1" s="1"/>
  <c r="BP100" i="1"/>
  <c r="BS100" i="1" s="1"/>
  <c r="BP101" i="1"/>
  <c r="BS101" i="1" s="1"/>
  <c r="BP102" i="1"/>
  <c r="BS102" i="1" s="1"/>
  <c r="BP103" i="1"/>
  <c r="BS103" i="1" s="1"/>
  <c r="U205" i="27"/>
  <c r="U206" i="27"/>
  <c r="U207" i="27"/>
  <c r="U208" i="27"/>
  <c r="U209" i="27"/>
  <c r="U210" i="27"/>
  <c r="U211" i="27"/>
  <c r="U212" i="27"/>
  <c r="U213" i="27"/>
  <c r="U214" i="27"/>
  <c r="U215" i="27"/>
  <c r="U216" i="27"/>
  <c r="U217" i="27"/>
  <c r="U218" i="27"/>
  <c r="T197" i="27"/>
  <c r="V197" i="27" s="1"/>
  <c r="T198" i="27"/>
  <c r="V198" i="27" s="1"/>
  <c r="T199" i="27"/>
  <c r="V199" i="27" s="1"/>
  <c r="T200" i="27"/>
  <c r="V200" i="27" s="1"/>
  <c r="T201" i="27"/>
  <c r="V201" i="27" s="1"/>
  <c r="T202" i="27"/>
  <c r="V202" i="27" s="1"/>
  <c r="T203" i="27"/>
  <c r="V203" i="27" s="1"/>
  <c r="T204" i="27"/>
  <c r="V204" i="27" s="1"/>
  <c r="T205" i="27"/>
  <c r="T206" i="27"/>
  <c r="V206" i="27" s="1"/>
  <c r="T207" i="27"/>
  <c r="V207" i="27" s="1"/>
  <c r="T208" i="27"/>
  <c r="V208" i="27" s="1"/>
  <c r="T209" i="27"/>
  <c r="V209" i="27" s="1"/>
  <c r="T210" i="27"/>
  <c r="V210" i="27" s="1"/>
  <c r="T211" i="27"/>
  <c r="V211" i="27" s="1"/>
  <c r="T212" i="27"/>
  <c r="V212" i="27" s="1"/>
  <c r="T213" i="27"/>
  <c r="V213" i="27" s="1"/>
  <c r="T214" i="27"/>
  <c r="V214" i="27" s="1"/>
  <c r="T215" i="27"/>
  <c r="V215" i="27" s="1"/>
  <c r="T216" i="27"/>
  <c r="V216" i="27" s="1"/>
  <c r="T217" i="27"/>
  <c r="V217" i="27" s="1"/>
  <c r="T218" i="27"/>
  <c r="V218" i="27" s="1"/>
  <c r="T196" i="27"/>
  <c r="V196" i="27" s="1"/>
  <c r="BQ82" i="1"/>
  <c r="BS82" i="1" s="1"/>
  <c r="BQ83" i="1"/>
  <c r="BS83" i="1" s="1"/>
  <c r="BQ84" i="1"/>
  <c r="BS84" i="1" s="1"/>
  <c r="BQ85" i="1"/>
  <c r="BS85" i="1" s="1"/>
  <c r="BQ86" i="1"/>
  <c r="BS86" i="1" s="1"/>
  <c r="BQ87" i="1"/>
  <c r="BS87" i="1" s="1"/>
  <c r="BQ88" i="1"/>
  <c r="BS88" i="1" s="1"/>
  <c r="BQ89" i="1"/>
  <c r="BS89" i="1" s="1"/>
  <c r="BQ81" i="1"/>
  <c r="BS81" i="1" s="1"/>
  <c r="U195" i="27"/>
  <c r="W195" i="27" s="1"/>
  <c r="T195" i="27"/>
  <c r="T183" i="27"/>
  <c r="T184" i="27"/>
  <c r="T185" i="27"/>
  <c r="T186" i="27"/>
  <c r="T187" i="27"/>
  <c r="T188" i="27"/>
  <c r="T189" i="27"/>
  <c r="T190" i="27"/>
  <c r="T191" i="27"/>
  <c r="T192" i="27"/>
  <c r="T193" i="27"/>
  <c r="T194" i="27"/>
  <c r="W194" i="27"/>
  <c r="S183" i="27"/>
  <c r="S184" i="27"/>
  <c r="S185" i="27"/>
  <c r="S186" i="27"/>
  <c r="S187" i="27"/>
  <c r="S188" i="27"/>
  <c r="S189" i="27"/>
  <c r="S190" i="27"/>
  <c r="S191" i="27"/>
  <c r="S192" i="27"/>
  <c r="S193" i="27"/>
  <c r="S194" i="27"/>
  <c r="T182" i="27"/>
  <c r="S182" i="27"/>
  <c r="U177" i="27"/>
  <c r="T245" i="27" s="1"/>
  <c r="U178" i="27"/>
  <c r="T246" i="27" s="1"/>
  <c r="U179" i="27"/>
  <c r="U180" i="27"/>
  <c r="U176" i="27"/>
  <c r="T244" i="27" s="1"/>
  <c r="U174" i="27"/>
  <c r="T240" i="27" s="1"/>
  <c r="U175" i="27"/>
  <c r="T241" i="27" s="1"/>
  <c r="U173" i="27"/>
  <c r="T239" i="27" s="1"/>
  <c r="T177" i="27"/>
  <c r="T178" i="27"/>
  <c r="S246" i="27" s="1"/>
  <c r="U246" i="27" s="1"/>
  <c r="T179" i="27"/>
  <c r="V179" i="27" s="1"/>
  <c r="T180" i="27"/>
  <c r="V180" i="27" s="1"/>
  <c r="T176" i="27"/>
  <c r="V176" i="27" s="1"/>
  <c r="T174" i="27"/>
  <c r="T175" i="27"/>
  <c r="S241" i="27" s="1"/>
  <c r="U241" i="27" s="1"/>
  <c r="T173" i="27"/>
  <c r="S239" i="27" s="1"/>
  <c r="U239" i="27" s="1"/>
  <c r="S179" i="27"/>
  <c r="S180" i="27"/>
  <c r="S177" i="27"/>
  <c r="S178" i="27"/>
  <c r="S176" i="27"/>
  <c r="G226" i="27"/>
  <c r="H226" i="27"/>
  <c r="I226" i="27"/>
  <c r="J226" i="27"/>
  <c r="K226" i="27"/>
  <c r="L226" i="27"/>
  <c r="M226" i="27"/>
  <c r="N226" i="27"/>
  <c r="O226" i="27"/>
  <c r="P226" i="27"/>
  <c r="Q226" i="27"/>
  <c r="F226" i="27"/>
  <c r="G209" i="27"/>
  <c r="H209" i="27"/>
  <c r="I209" i="27"/>
  <c r="J209" i="27"/>
  <c r="K209" i="27"/>
  <c r="L209" i="27"/>
  <c r="M209" i="27"/>
  <c r="P209" i="27"/>
  <c r="Q209" i="27"/>
  <c r="F209" i="27"/>
  <c r="G230" i="27"/>
  <c r="H230" i="27"/>
  <c r="I230" i="27"/>
  <c r="J230" i="27"/>
  <c r="K230" i="27"/>
  <c r="L230" i="27"/>
  <c r="M230" i="27"/>
  <c r="N230" i="27"/>
  <c r="O230" i="27"/>
  <c r="P230" i="27"/>
  <c r="Q230" i="27"/>
  <c r="F230" i="27"/>
  <c r="G216" i="27"/>
  <c r="H216" i="27"/>
  <c r="I216" i="27"/>
  <c r="J216" i="27"/>
  <c r="K216" i="27"/>
  <c r="L216" i="27"/>
  <c r="M216" i="27"/>
  <c r="N216" i="27"/>
  <c r="O216" i="27"/>
  <c r="P216" i="27"/>
  <c r="Q216" i="27"/>
  <c r="F216" i="27"/>
  <c r="G204" i="27"/>
  <c r="H204" i="27"/>
  <c r="I204" i="27"/>
  <c r="J204" i="27"/>
  <c r="K204" i="27"/>
  <c r="L204" i="27"/>
  <c r="M204" i="27"/>
  <c r="N204" i="27"/>
  <c r="O204" i="27"/>
  <c r="P204" i="27"/>
  <c r="Q204" i="27"/>
  <c r="F204" i="27"/>
  <c r="G203" i="27"/>
  <c r="H203" i="27"/>
  <c r="I203" i="27"/>
  <c r="J203" i="27"/>
  <c r="K203" i="27"/>
  <c r="L203" i="27"/>
  <c r="M203" i="27"/>
  <c r="N203" i="27"/>
  <c r="O203" i="27"/>
  <c r="P203" i="27"/>
  <c r="Q203" i="27"/>
  <c r="F203" i="27"/>
  <c r="G201" i="27"/>
  <c r="H201" i="27"/>
  <c r="I201" i="27"/>
  <c r="J201" i="27"/>
  <c r="K201" i="27"/>
  <c r="L201" i="27"/>
  <c r="M201" i="27"/>
  <c r="N201" i="27"/>
  <c r="O201" i="27"/>
  <c r="P201" i="27"/>
  <c r="Q201" i="27"/>
  <c r="F201" i="27"/>
  <c r="G190" i="27"/>
  <c r="H190" i="27"/>
  <c r="I190" i="27"/>
  <c r="J190" i="27"/>
  <c r="K190" i="27"/>
  <c r="L190" i="27"/>
  <c r="M190" i="27"/>
  <c r="M188" i="27" s="1"/>
  <c r="N190" i="27"/>
  <c r="N188" i="27" s="1"/>
  <c r="O190" i="27"/>
  <c r="O188" i="27" s="1"/>
  <c r="P190" i="27"/>
  <c r="P188" i="27" s="1"/>
  <c r="Q190" i="27"/>
  <c r="Q188" i="27" s="1"/>
  <c r="F190" i="27"/>
  <c r="G185" i="27"/>
  <c r="H185" i="27"/>
  <c r="I185" i="27"/>
  <c r="J185" i="27"/>
  <c r="K185" i="27"/>
  <c r="L185" i="27"/>
  <c r="M185" i="27"/>
  <c r="N185" i="27"/>
  <c r="O185" i="27"/>
  <c r="P185" i="27"/>
  <c r="Q185" i="27"/>
  <c r="F185" i="27"/>
  <c r="G180" i="27"/>
  <c r="H180" i="27"/>
  <c r="I180" i="27"/>
  <c r="J180" i="27"/>
  <c r="K180" i="27"/>
  <c r="L180" i="27"/>
  <c r="M180" i="27"/>
  <c r="N180" i="27"/>
  <c r="O180" i="27"/>
  <c r="P180" i="27"/>
  <c r="Q180" i="27"/>
  <c r="F180" i="27"/>
  <c r="G179" i="27"/>
  <c r="H179" i="27"/>
  <c r="I179" i="27"/>
  <c r="J179" i="27"/>
  <c r="K179" i="27"/>
  <c r="L179" i="27"/>
  <c r="M179" i="27"/>
  <c r="N179" i="27"/>
  <c r="O179" i="27"/>
  <c r="P179" i="27"/>
  <c r="Q179" i="27"/>
  <c r="F179" i="27"/>
  <c r="G175" i="27"/>
  <c r="H175" i="27"/>
  <c r="I175" i="27"/>
  <c r="J175" i="27"/>
  <c r="K175" i="27"/>
  <c r="L175" i="27"/>
  <c r="M175" i="27"/>
  <c r="N175" i="27"/>
  <c r="O175" i="27"/>
  <c r="P175" i="27"/>
  <c r="Q175" i="27"/>
  <c r="F175" i="27"/>
  <c r="G174" i="27"/>
  <c r="H174" i="27"/>
  <c r="I174" i="27"/>
  <c r="J174" i="27"/>
  <c r="K174" i="27"/>
  <c r="L174" i="27"/>
  <c r="M174" i="27"/>
  <c r="N174" i="27"/>
  <c r="O174" i="27"/>
  <c r="P174" i="27"/>
  <c r="Q174" i="27"/>
  <c r="F174" i="27"/>
  <c r="G172" i="27"/>
  <c r="H172" i="27"/>
  <c r="I172" i="27"/>
  <c r="J172" i="27"/>
  <c r="K172" i="27"/>
  <c r="L172" i="27"/>
  <c r="M172" i="27"/>
  <c r="N172" i="27"/>
  <c r="O172" i="27"/>
  <c r="P172" i="27"/>
  <c r="Q172" i="27"/>
  <c r="F172" i="27"/>
  <c r="W181" i="27"/>
  <c r="D238" i="27"/>
  <c r="D231" i="27"/>
  <c r="D226" i="27"/>
  <c r="D218" i="27"/>
  <c r="Q217" i="27"/>
  <c r="P217" i="27"/>
  <c r="O217" i="27"/>
  <c r="N217" i="27"/>
  <c r="M217" i="27"/>
  <c r="L217" i="27"/>
  <c r="K217" i="27"/>
  <c r="J217" i="27"/>
  <c r="I217" i="27"/>
  <c r="H217" i="27"/>
  <c r="G217" i="27"/>
  <c r="F217" i="27"/>
  <c r="D217" i="27"/>
  <c r="D216" i="27"/>
  <c r="D230" i="27" s="1"/>
  <c r="D210" i="27"/>
  <c r="D209" i="27"/>
  <c r="D211" i="27" s="1"/>
  <c r="D208" i="27"/>
  <c r="D204" i="27"/>
  <c r="D203" i="27"/>
  <c r="D190" i="27"/>
  <c r="L189" i="27"/>
  <c r="K189" i="27"/>
  <c r="J189" i="27"/>
  <c r="I189" i="27"/>
  <c r="H189" i="27"/>
  <c r="G189" i="27"/>
  <c r="F189" i="27"/>
  <c r="D189" i="27"/>
  <c r="D185" i="27"/>
  <c r="D183" i="27" s="1"/>
  <c r="Q184" i="27"/>
  <c r="P184" i="27"/>
  <c r="O184" i="27"/>
  <c r="N184" i="27"/>
  <c r="L184" i="27"/>
  <c r="K184" i="27"/>
  <c r="J184" i="27"/>
  <c r="I184" i="27"/>
  <c r="H184" i="27"/>
  <c r="G184" i="27"/>
  <c r="F184" i="27"/>
  <c r="D179" i="27"/>
  <c r="D175" i="27"/>
  <c r="D174" i="27"/>
  <c r="E508" i="1"/>
  <c r="BA9" i="1"/>
  <c r="BA10" i="1"/>
  <c r="BA11" i="1"/>
  <c r="BA12" i="1"/>
  <c r="BA8" i="1"/>
  <c r="AZ8" i="1"/>
  <c r="AY8" i="1"/>
  <c r="AZ10" i="1"/>
  <c r="AZ11" i="1"/>
  <c r="AZ12" i="1"/>
  <c r="BB12" i="1" s="1"/>
  <c r="AZ9" i="1"/>
  <c r="AY12" i="1"/>
  <c r="AY9" i="1"/>
  <c r="AY10" i="1"/>
  <c r="AY11" i="1"/>
  <c r="AY7" i="1"/>
  <c r="AM5" i="24"/>
  <c r="AL6" i="24"/>
  <c r="AL7" i="24"/>
  <c r="AL8" i="24"/>
  <c r="AL9" i="24"/>
  <c r="AL10" i="24"/>
  <c r="AL11" i="24"/>
  <c r="AL14" i="24"/>
  <c r="AL15" i="24"/>
  <c r="AL16" i="24"/>
  <c r="AL17" i="24"/>
  <c r="AL18" i="24"/>
  <c r="AL19" i="24"/>
  <c r="AL20" i="24"/>
  <c r="AL21" i="24"/>
  <c r="AL22" i="24"/>
  <c r="AL23" i="24"/>
  <c r="AL24" i="24"/>
  <c r="AL5" i="24"/>
  <c r="AL4" i="24"/>
  <c r="AJ5" i="24"/>
  <c r="AI6" i="24"/>
  <c r="AI7" i="24"/>
  <c r="AI8" i="24"/>
  <c r="AI9" i="24"/>
  <c r="AI10" i="24"/>
  <c r="AI11" i="24"/>
  <c r="AI14" i="24"/>
  <c r="AI15" i="24"/>
  <c r="AI16" i="24"/>
  <c r="AI17" i="24"/>
  <c r="AI18" i="24"/>
  <c r="AI19" i="24"/>
  <c r="AI20" i="24"/>
  <c r="AI21" i="24"/>
  <c r="AI22" i="24"/>
  <c r="AI23" i="24"/>
  <c r="AI24" i="24"/>
  <c r="AI5" i="24"/>
  <c r="AI4" i="24"/>
  <c r="DP72" i="1"/>
  <c r="DS72" i="1" s="1"/>
  <c r="DQ72" i="1"/>
  <c r="DR72" i="1"/>
  <c r="Y55" i="27"/>
  <c r="X55" i="27"/>
  <c r="O55" i="27"/>
  <c r="N55" i="27"/>
  <c r="M55" i="27"/>
  <c r="L55" i="27"/>
  <c r="K55" i="27"/>
  <c r="J55" i="27"/>
  <c r="I55" i="27"/>
  <c r="S55" i="27" s="1"/>
  <c r="H55" i="27"/>
  <c r="R55" i="27" s="1"/>
  <c r="G55" i="27"/>
  <c r="Q55" i="27" s="1"/>
  <c r="F55" i="27"/>
  <c r="E55" i="27"/>
  <c r="C55" i="27"/>
  <c r="B55" i="27"/>
  <c r="A55" i="27"/>
  <c r="A54" i="27"/>
  <c r="BA49" i="1"/>
  <c r="BA50" i="1"/>
  <c r="BA51" i="1"/>
  <c r="BA52" i="1"/>
  <c r="BA48" i="1"/>
  <c r="AZ49" i="1"/>
  <c r="AZ50" i="1"/>
  <c r="AZ51" i="1"/>
  <c r="AZ52" i="1"/>
  <c r="AZ48" i="1"/>
  <c r="AY49" i="1"/>
  <c r="AY50" i="1"/>
  <c r="AY51" i="1"/>
  <c r="AY52" i="1"/>
  <c r="AY48"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AZ35" i="1"/>
  <c r="AZ36" i="1"/>
  <c r="AZ37" i="1"/>
  <c r="AZ38" i="1"/>
  <c r="AZ39" i="1"/>
  <c r="AZ40" i="1"/>
  <c r="AZ41" i="1"/>
  <c r="AZ42" i="1"/>
  <c r="AZ43" i="1"/>
  <c r="AZ44" i="1"/>
  <c r="AZ45" i="1"/>
  <c r="AZ46" i="1"/>
  <c r="AZ47" i="1"/>
  <c r="AZ21" i="1"/>
  <c r="AZ22" i="1"/>
  <c r="AZ23" i="1"/>
  <c r="AZ24" i="1"/>
  <c r="AZ25" i="1"/>
  <c r="AZ26" i="1"/>
  <c r="AZ27" i="1"/>
  <c r="AZ28" i="1"/>
  <c r="AZ29" i="1"/>
  <c r="AZ30" i="1"/>
  <c r="AZ31" i="1"/>
  <c r="AZ32" i="1"/>
  <c r="AZ33" i="1"/>
  <c r="AZ34" i="1"/>
  <c r="BA19" i="1"/>
  <c r="AZ19" i="1"/>
  <c r="BA96" i="1"/>
  <c r="BA97" i="1"/>
  <c r="BA98" i="1"/>
  <c r="BA99" i="1"/>
  <c r="BA100" i="1"/>
  <c r="BA101" i="1"/>
  <c r="BA102" i="1"/>
  <c r="BA95" i="1"/>
  <c r="AZ96" i="1"/>
  <c r="AZ97" i="1"/>
  <c r="AZ98" i="1"/>
  <c r="AZ99" i="1"/>
  <c r="AZ100" i="1"/>
  <c r="AZ101" i="1"/>
  <c r="AZ102" i="1"/>
  <c r="AZ95" i="1"/>
  <c r="AY95" i="1"/>
  <c r="AY96" i="1"/>
  <c r="BB96" i="1" s="1"/>
  <c r="AY97" i="1"/>
  <c r="BB97" i="1" s="1"/>
  <c r="AY98" i="1"/>
  <c r="BB98" i="1" s="1"/>
  <c r="AY99" i="1"/>
  <c r="BB99" i="1" s="1"/>
  <c r="AY100" i="1"/>
  <c r="BB100" i="1" s="1"/>
  <c r="AY101" i="1"/>
  <c r="BB101" i="1" s="1"/>
  <c r="AY102" i="1"/>
  <c r="BB102" i="1" s="1"/>
  <c r="BA82" i="1"/>
  <c r="BA83" i="1"/>
  <c r="BA84" i="1"/>
  <c r="BA85" i="1"/>
  <c r="BA86" i="1"/>
  <c r="BA87" i="1"/>
  <c r="BA88" i="1"/>
  <c r="BA89" i="1"/>
  <c r="BA90" i="1"/>
  <c r="BA91" i="1"/>
  <c r="BA92" i="1"/>
  <c r="BA93" i="1"/>
  <c r="BA94" i="1"/>
  <c r="AZ82" i="1"/>
  <c r="AZ83" i="1"/>
  <c r="AZ84" i="1"/>
  <c r="AZ85" i="1"/>
  <c r="AZ86" i="1"/>
  <c r="AZ87" i="1"/>
  <c r="AZ88" i="1"/>
  <c r="AZ89" i="1"/>
  <c r="AZ90" i="1"/>
  <c r="AZ91" i="1"/>
  <c r="AZ92" i="1"/>
  <c r="AZ93" i="1"/>
  <c r="AZ94" i="1"/>
  <c r="AY82" i="1"/>
  <c r="BB82" i="1" s="1"/>
  <c r="AY83" i="1"/>
  <c r="BB83" i="1" s="1"/>
  <c r="AY84" i="1"/>
  <c r="BB84" i="1" s="1"/>
  <c r="AY85" i="1"/>
  <c r="BB85" i="1" s="1"/>
  <c r="AY86" i="1"/>
  <c r="BB86" i="1" s="1"/>
  <c r="AY87" i="1"/>
  <c r="BB87" i="1" s="1"/>
  <c r="AY88" i="1"/>
  <c r="BB88" i="1" s="1"/>
  <c r="AY89" i="1"/>
  <c r="BB89" i="1" s="1"/>
  <c r="AY90" i="1"/>
  <c r="BB90" i="1" s="1"/>
  <c r="AY91" i="1"/>
  <c r="AY92" i="1"/>
  <c r="AY93" i="1"/>
  <c r="AY94" i="1"/>
  <c r="BA71" i="1"/>
  <c r="BA72" i="1"/>
  <c r="BA73" i="1"/>
  <c r="BA74" i="1"/>
  <c r="BA75" i="1"/>
  <c r="BA76" i="1"/>
  <c r="BA77" i="1"/>
  <c r="BA78" i="1"/>
  <c r="BA79" i="1"/>
  <c r="AZ71" i="1"/>
  <c r="AZ72" i="1"/>
  <c r="AZ73" i="1"/>
  <c r="AZ74" i="1"/>
  <c r="AZ75" i="1"/>
  <c r="AZ76" i="1"/>
  <c r="AZ77" i="1"/>
  <c r="AZ78" i="1"/>
  <c r="AZ79" i="1"/>
  <c r="AY71" i="1"/>
  <c r="BB71" i="1" s="1"/>
  <c r="AY72" i="1"/>
  <c r="BB72" i="1" s="1"/>
  <c r="AY73" i="1"/>
  <c r="BB73" i="1" s="1"/>
  <c r="AY74" i="1"/>
  <c r="BB74" i="1" s="1"/>
  <c r="AY75" i="1"/>
  <c r="BB75" i="1" s="1"/>
  <c r="AY76" i="1"/>
  <c r="AY77" i="1"/>
  <c r="AY78" i="1"/>
  <c r="AY79" i="1"/>
  <c r="BA56" i="1"/>
  <c r="BA57" i="1"/>
  <c r="BA58" i="1"/>
  <c r="BA59" i="1"/>
  <c r="BA60" i="1"/>
  <c r="BA61" i="1"/>
  <c r="BA62" i="1"/>
  <c r="BA63" i="1"/>
  <c r="BA64" i="1"/>
  <c r="BA65" i="1"/>
  <c r="BA66" i="1"/>
  <c r="BA67" i="1"/>
  <c r="BA68" i="1"/>
  <c r="AZ56" i="1"/>
  <c r="AZ57" i="1"/>
  <c r="AZ58" i="1"/>
  <c r="AZ59" i="1"/>
  <c r="AZ60" i="1"/>
  <c r="AZ61" i="1"/>
  <c r="AZ62" i="1"/>
  <c r="AZ63" i="1"/>
  <c r="AZ64" i="1"/>
  <c r="AZ65" i="1"/>
  <c r="AZ66" i="1"/>
  <c r="AZ67" i="1"/>
  <c r="AZ68" i="1"/>
  <c r="AY56" i="1"/>
  <c r="BB56" i="1" s="1"/>
  <c r="AY57" i="1"/>
  <c r="BB57" i="1" s="1"/>
  <c r="AY58" i="1"/>
  <c r="BB58" i="1" s="1"/>
  <c r="AY59" i="1"/>
  <c r="BB59" i="1" s="1"/>
  <c r="AY60" i="1"/>
  <c r="BB60" i="1" s="1"/>
  <c r="AY61" i="1"/>
  <c r="BB61" i="1" s="1"/>
  <c r="AY62" i="1"/>
  <c r="BB62" i="1" s="1"/>
  <c r="AY63" i="1"/>
  <c r="BB63" i="1" s="1"/>
  <c r="AY64" i="1"/>
  <c r="BB64" i="1" s="1"/>
  <c r="AY65" i="1"/>
  <c r="AY66" i="1"/>
  <c r="AY67" i="1"/>
  <c r="AY68" i="1"/>
  <c r="N291" i="1"/>
  <c r="O291" i="1"/>
  <c r="P291" i="1"/>
  <c r="Q291" i="1"/>
  <c r="R291" i="1"/>
  <c r="M291" i="1"/>
  <c r="H291" i="1"/>
  <c r="I291" i="1"/>
  <c r="J291" i="1"/>
  <c r="K291" i="1"/>
  <c r="L291" i="1"/>
  <c r="G291" i="1"/>
  <c r="H304" i="1"/>
  <c r="I304" i="1"/>
  <c r="J304" i="1"/>
  <c r="K304" i="1"/>
  <c r="L304" i="1"/>
  <c r="M304" i="1"/>
  <c r="N304" i="1"/>
  <c r="O304" i="1"/>
  <c r="P304" i="1"/>
  <c r="Q304" i="1"/>
  <c r="R304" i="1"/>
  <c r="G304" i="1"/>
  <c r="H300" i="1"/>
  <c r="I300" i="1"/>
  <c r="J300" i="1"/>
  <c r="K300" i="1"/>
  <c r="L300" i="1"/>
  <c r="M300" i="1"/>
  <c r="N300" i="1"/>
  <c r="O300" i="1"/>
  <c r="P300" i="1"/>
  <c r="Q300" i="1"/>
  <c r="R300" i="1"/>
  <c r="G300" i="1"/>
  <c r="H290" i="1"/>
  <c r="I290" i="1"/>
  <c r="J290" i="1"/>
  <c r="K290" i="1"/>
  <c r="L290" i="1"/>
  <c r="M290" i="1"/>
  <c r="N290" i="1"/>
  <c r="O290" i="1"/>
  <c r="P290" i="1"/>
  <c r="Q290" i="1"/>
  <c r="R290" i="1"/>
  <c r="G290" i="1"/>
  <c r="H283" i="1"/>
  <c r="I283" i="1"/>
  <c r="J283" i="1"/>
  <c r="K283" i="1"/>
  <c r="L283" i="1"/>
  <c r="M283" i="1"/>
  <c r="N283" i="1"/>
  <c r="Q283" i="1"/>
  <c r="R283" i="1"/>
  <c r="G283" i="1"/>
  <c r="H263" i="1"/>
  <c r="I263" i="1"/>
  <c r="J263" i="1"/>
  <c r="K263" i="1"/>
  <c r="L263" i="1"/>
  <c r="M263" i="1"/>
  <c r="G263" i="1"/>
  <c r="H264" i="1"/>
  <c r="I264" i="1"/>
  <c r="J264" i="1"/>
  <c r="K264" i="1"/>
  <c r="L264" i="1"/>
  <c r="M264" i="1"/>
  <c r="N264" i="1"/>
  <c r="N262" i="1" s="1"/>
  <c r="O264" i="1"/>
  <c r="O262" i="1" s="1"/>
  <c r="P264" i="1"/>
  <c r="P262" i="1" s="1"/>
  <c r="Q264" i="1"/>
  <c r="Q262" i="1" s="1"/>
  <c r="R264" i="1"/>
  <c r="R262" i="1" s="1"/>
  <c r="G264" i="1"/>
  <c r="G253" i="1"/>
  <c r="H253" i="1"/>
  <c r="I253" i="1"/>
  <c r="J253" i="1"/>
  <c r="K253" i="1"/>
  <c r="L253" i="1"/>
  <c r="M253" i="1"/>
  <c r="N253" i="1"/>
  <c r="O253" i="1"/>
  <c r="P253" i="1"/>
  <c r="Q253" i="1"/>
  <c r="R253" i="1"/>
  <c r="H254" i="1"/>
  <c r="I254" i="1"/>
  <c r="J254" i="1"/>
  <c r="K254" i="1"/>
  <c r="L254" i="1"/>
  <c r="M254" i="1"/>
  <c r="N254" i="1"/>
  <c r="O254" i="1"/>
  <c r="P254" i="1"/>
  <c r="Q254" i="1"/>
  <c r="R254" i="1"/>
  <c r="G254" i="1"/>
  <c r="H277" i="1"/>
  <c r="I277" i="1"/>
  <c r="J277" i="1"/>
  <c r="K277" i="1"/>
  <c r="L277" i="1"/>
  <c r="M277" i="1"/>
  <c r="N277" i="1"/>
  <c r="O277" i="1"/>
  <c r="P277" i="1"/>
  <c r="Q277" i="1"/>
  <c r="R277" i="1"/>
  <c r="H278" i="1"/>
  <c r="I278" i="1"/>
  <c r="J278" i="1"/>
  <c r="K278" i="1"/>
  <c r="L278" i="1"/>
  <c r="M278" i="1"/>
  <c r="N278" i="1"/>
  <c r="O278" i="1"/>
  <c r="P278" i="1"/>
  <c r="Q278" i="1"/>
  <c r="R278" i="1"/>
  <c r="G278" i="1"/>
  <c r="G277" i="1"/>
  <c r="H275" i="1"/>
  <c r="I275" i="1"/>
  <c r="J275" i="1"/>
  <c r="K275" i="1"/>
  <c r="L275" i="1"/>
  <c r="M275" i="1"/>
  <c r="N275" i="1"/>
  <c r="O275" i="1"/>
  <c r="P275" i="1"/>
  <c r="Q275" i="1"/>
  <c r="R275" i="1"/>
  <c r="G275" i="1"/>
  <c r="H259" i="1"/>
  <c r="I259" i="1"/>
  <c r="J259" i="1"/>
  <c r="K259" i="1"/>
  <c r="L259" i="1"/>
  <c r="M259" i="1"/>
  <c r="N259" i="1"/>
  <c r="O259" i="1"/>
  <c r="P259" i="1"/>
  <c r="Q259" i="1"/>
  <c r="R259" i="1"/>
  <c r="G259" i="1"/>
  <c r="H258" i="1"/>
  <c r="I258" i="1"/>
  <c r="J258" i="1"/>
  <c r="K258" i="1"/>
  <c r="L258" i="1"/>
  <c r="M258" i="1"/>
  <c r="G258" i="1"/>
  <c r="R258" i="1"/>
  <c r="Q258" i="1"/>
  <c r="P258" i="1"/>
  <c r="O258" i="1"/>
  <c r="N258" i="1"/>
  <c r="H248" i="1"/>
  <c r="I248" i="1"/>
  <c r="J248" i="1"/>
  <c r="K248" i="1"/>
  <c r="L248" i="1"/>
  <c r="M248" i="1"/>
  <c r="N248" i="1"/>
  <c r="O248" i="1"/>
  <c r="P248" i="1"/>
  <c r="Q248" i="1"/>
  <c r="R248" i="1"/>
  <c r="G248" i="1"/>
  <c r="H249" i="1"/>
  <c r="I249" i="1"/>
  <c r="J249" i="1"/>
  <c r="K249" i="1"/>
  <c r="L249" i="1"/>
  <c r="M249" i="1"/>
  <c r="N249" i="1"/>
  <c r="O249" i="1"/>
  <c r="P249" i="1"/>
  <c r="Q249" i="1"/>
  <c r="R249" i="1"/>
  <c r="G249" i="1"/>
  <c r="R246" i="1"/>
  <c r="Q246" i="1"/>
  <c r="H246" i="1"/>
  <c r="I246" i="1"/>
  <c r="J246" i="1"/>
  <c r="K246" i="1"/>
  <c r="L246" i="1"/>
  <c r="M246" i="1"/>
  <c r="N246" i="1"/>
  <c r="O246" i="1"/>
  <c r="P246" i="1"/>
  <c r="G246" i="1"/>
  <c r="E11" i="12"/>
  <c r="F7" i="12" s="1"/>
  <c r="D4" i="19" s="1"/>
  <c r="J8" i="14"/>
  <c r="K8" i="14"/>
  <c r="N125" i="27"/>
  <c r="M125" i="27"/>
  <c r="L125" i="27"/>
  <c r="V294" i="27" l="1"/>
  <c r="G173" i="27"/>
  <c r="G202" i="27"/>
  <c r="G212" i="27" s="1"/>
  <c r="F202" i="27"/>
  <c r="F224" i="27" s="1"/>
  <c r="P173" i="27"/>
  <c r="L178" i="27"/>
  <c r="BF173" i="27"/>
  <c r="G262" i="1"/>
  <c r="DT72" i="1"/>
  <c r="J202" i="27"/>
  <c r="J237" i="27" s="1"/>
  <c r="AJ173" i="27"/>
  <c r="BL173" i="27"/>
  <c r="BF178" i="27"/>
  <c r="BL202" i="27"/>
  <c r="BL232" i="27" s="1"/>
  <c r="BL229" i="27" s="1"/>
  <c r="J295" i="27"/>
  <c r="BG178" i="27"/>
  <c r="AK202" i="27"/>
  <c r="AK212" i="27" s="1"/>
  <c r="BK173" i="27"/>
  <c r="BE178" i="27"/>
  <c r="J294" i="27"/>
  <c r="V290" i="27"/>
  <c r="AG178" i="27"/>
  <c r="BM202" i="27"/>
  <c r="BM232" i="27" s="1"/>
  <c r="BM229" i="27" s="1"/>
  <c r="M178" i="27"/>
  <c r="V289" i="27"/>
  <c r="AF178" i="27"/>
  <c r="P202" i="27"/>
  <c r="P237" i="27" s="1"/>
  <c r="P178" i="27"/>
  <c r="AM178" i="27"/>
  <c r="BE173" i="27"/>
  <c r="BM178" i="27"/>
  <c r="K173" i="27"/>
  <c r="K202" i="27"/>
  <c r="O178" i="27"/>
  <c r="AH178" i="27"/>
  <c r="BN173" i="27"/>
  <c r="O173" i="27"/>
  <c r="N202" i="27"/>
  <c r="N215" i="27" s="1"/>
  <c r="AE178" i="27"/>
  <c r="BI173" i="27"/>
  <c r="AF173" i="27"/>
  <c r="BD178" i="27"/>
  <c r="BH202" i="27"/>
  <c r="BH232" i="27" s="1"/>
  <c r="BH229" i="27" s="1"/>
  <c r="I260" i="27"/>
  <c r="J260" i="27" s="1"/>
  <c r="H178" i="27"/>
  <c r="AO178" i="27"/>
  <c r="AG202" i="27"/>
  <c r="AG224" i="27" s="1"/>
  <c r="J291" i="27"/>
  <c r="AR243" i="27"/>
  <c r="AT243" i="27" s="1"/>
  <c r="AU243" i="27" s="1"/>
  <c r="J290" i="27"/>
  <c r="V300" i="27"/>
  <c r="V299" i="27"/>
  <c r="I173" i="27"/>
  <c r="V298" i="27"/>
  <c r="H173" i="27"/>
  <c r="AO173" i="27"/>
  <c r="AK178" i="27"/>
  <c r="AE202" i="27"/>
  <c r="AE215" i="27" s="1"/>
  <c r="O202" i="27"/>
  <c r="O212" i="27" s="1"/>
  <c r="J299" i="27"/>
  <c r="V295" i="27"/>
  <c r="BE202" i="27"/>
  <c r="BE232" i="27" s="1"/>
  <c r="BE229" i="27" s="1"/>
  <c r="BI202" i="27"/>
  <c r="W180" i="27"/>
  <c r="BG183" i="27"/>
  <c r="BU210" i="27"/>
  <c r="BU214" i="27"/>
  <c r="W210" i="27"/>
  <c r="BC11" i="1"/>
  <c r="BB11" i="1"/>
  <c r="BD11" i="1" s="1"/>
  <c r="BC9" i="1"/>
  <c r="BB9" i="1"/>
  <c r="BD9" i="1" s="1"/>
  <c r="BC10" i="1"/>
  <c r="BB10" i="1"/>
  <c r="BD10" i="1" s="1"/>
  <c r="F173" i="27"/>
  <c r="N178" i="27"/>
  <c r="I178" i="27"/>
  <c r="F178" i="27"/>
  <c r="J173" i="27"/>
  <c r="AJ178" i="27"/>
  <c r="E290" i="1"/>
  <c r="D188" i="27"/>
  <c r="AN178" i="27"/>
  <c r="AL173" i="27"/>
  <c r="Q173" i="27"/>
  <c r="AI178" i="27"/>
  <c r="AP178" i="27"/>
  <c r="BN202" i="27"/>
  <c r="BJ202" i="27"/>
  <c r="BF202" i="27"/>
  <c r="I202" i="27"/>
  <c r="AM202" i="27"/>
  <c r="Q178" i="27"/>
  <c r="B158" i="27"/>
  <c r="L85" i="27" s="1"/>
  <c r="AH202" i="27"/>
  <c r="M173" i="27"/>
  <c r="BB188" i="27"/>
  <c r="BJ173" i="27"/>
  <c r="BM173" i="27"/>
  <c r="AE173" i="27"/>
  <c r="T331" i="27"/>
  <c r="L202" i="27"/>
  <c r="AG173" i="27"/>
  <c r="E144" i="1"/>
  <c r="E386" i="1"/>
  <c r="G376" i="1"/>
  <c r="G373" i="1" s="1"/>
  <c r="I373" i="1"/>
  <c r="H373" i="1"/>
  <c r="G395" i="1"/>
  <c r="G394" i="1" s="1"/>
  <c r="H394" i="1"/>
  <c r="I394" i="1"/>
  <c r="AK173" i="27"/>
  <c r="G178" i="27"/>
  <c r="K178" i="27"/>
  <c r="G169" i="1"/>
  <c r="G168" i="1" s="1"/>
  <c r="H168" i="1"/>
  <c r="AI173" i="27"/>
  <c r="AI299" i="27"/>
  <c r="I232" i="27"/>
  <c r="I229" i="27" s="1"/>
  <c r="K224" i="27"/>
  <c r="BO224" i="27"/>
  <c r="BU208" i="27"/>
  <c r="AI298" i="27"/>
  <c r="AI294" i="27"/>
  <c r="AI290" i="27"/>
  <c r="AI286" i="27"/>
  <c r="AI282" i="27"/>
  <c r="AH317" i="27"/>
  <c r="AH315" i="27"/>
  <c r="AH313" i="27"/>
  <c r="AH311" i="27"/>
  <c r="J178" i="27"/>
  <c r="BJ178" i="27"/>
  <c r="AI202" i="27"/>
  <c r="AN202" i="27"/>
  <c r="AJ202" i="27"/>
  <c r="AF202" i="27"/>
  <c r="L173" i="27"/>
  <c r="U55" i="27"/>
  <c r="T55" i="27"/>
  <c r="H188" i="27"/>
  <c r="F6" i="12"/>
  <c r="F5" i="12"/>
  <c r="F8" i="12"/>
  <c r="F9" i="12"/>
  <c r="F10" i="12"/>
  <c r="AE323" i="27"/>
  <c r="AG323" i="27" s="1"/>
  <c r="AH323" i="27" s="1"/>
  <c r="BO183" i="27"/>
  <c r="BU215" i="27"/>
  <c r="BU191" i="27"/>
  <c r="BU218" i="27"/>
  <c r="AH260" i="27"/>
  <c r="AI260" i="27" s="1"/>
  <c r="AV218" i="27"/>
  <c r="BU196" i="27"/>
  <c r="F188" i="27"/>
  <c r="AV179" i="27"/>
  <c r="AC202" i="27"/>
  <c r="AC224" i="27" s="1"/>
  <c r="AC232" i="27" s="1"/>
  <c r="AC237" i="27" s="1"/>
  <c r="AV212" i="27"/>
  <c r="AV214" i="27"/>
  <c r="AV177" i="27"/>
  <c r="AI267" i="27"/>
  <c r="AC173" i="27"/>
  <c r="BH188" i="27"/>
  <c r="V261" i="27"/>
  <c r="V259" i="27"/>
  <c r="AI287" i="27"/>
  <c r="AI274" i="27"/>
  <c r="AI266" i="27"/>
  <c r="BU183" i="27"/>
  <c r="I308" i="27"/>
  <c r="I311" i="27"/>
  <c r="W202" i="27"/>
  <c r="U256" i="27"/>
  <c r="V256" i="27" s="1"/>
  <c r="I309" i="27"/>
  <c r="W198" i="27"/>
  <c r="W209" i="27"/>
  <c r="W217" i="27"/>
  <c r="W206" i="27"/>
  <c r="BM183" i="27"/>
  <c r="BU231" i="27"/>
  <c r="BU179" i="27"/>
  <c r="BU204" i="27"/>
  <c r="BU202" i="27"/>
  <c r="BU200" i="27"/>
  <c r="V275" i="27"/>
  <c r="V271" i="27"/>
  <c r="V267" i="27"/>
  <c r="F183" i="27"/>
  <c r="W218" i="27"/>
  <c r="V173" i="27"/>
  <c r="W173" i="27" s="1"/>
  <c r="W214" i="27"/>
  <c r="AV209" i="27"/>
  <c r="BE183" i="27"/>
  <c r="BI183" i="27"/>
  <c r="J256" i="27"/>
  <c r="I316" i="27"/>
  <c r="I314" i="27"/>
  <c r="I312" i="27"/>
  <c r="I310" i="27"/>
  <c r="D180" i="27"/>
  <c r="U249" i="27"/>
  <c r="F320" i="27"/>
  <c r="H320" i="27" s="1"/>
  <c r="I320" i="27" s="1"/>
  <c r="U314" i="27"/>
  <c r="U310" i="27"/>
  <c r="AG188" i="27"/>
  <c r="AK188" i="27"/>
  <c r="AV215" i="27"/>
  <c r="AV183" i="27"/>
  <c r="BD183" i="27"/>
  <c r="BU193" i="27"/>
  <c r="BU189" i="27"/>
  <c r="BU230" i="27"/>
  <c r="BU226" i="27"/>
  <c r="J262" i="27"/>
  <c r="J275" i="27"/>
  <c r="J271" i="27"/>
  <c r="J267" i="27"/>
  <c r="F322" i="27"/>
  <c r="H322" i="27" s="1"/>
  <c r="I322" i="27" s="1"/>
  <c r="H330" i="27"/>
  <c r="U260" i="27"/>
  <c r="V260" i="27" s="1"/>
  <c r="H183" i="27"/>
  <c r="L183" i="27"/>
  <c r="AO183" i="27"/>
  <c r="AV194" i="27"/>
  <c r="AV190" i="27"/>
  <c r="AV202" i="27"/>
  <c r="AV198" i="27"/>
  <c r="AV230" i="27"/>
  <c r="AV226" i="27"/>
  <c r="I259" i="27"/>
  <c r="J259" i="27" s="1"/>
  <c r="J274" i="27"/>
  <c r="J270" i="27"/>
  <c r="U255" i="27"/>
  <c r="V255" i="27" s="1"/>
  <c r="S240" i="27"/>
  <c r="U240" i="27" s="1"/>
  <c r="V240" i="27" s="1"/>
  <c r="V174" i="27"/>
  <c r="W174" i="27" s="1"/>
  <c r="AU175" i="27"/>
  <c r="AV175" i="27" s="1"/>
  <c r="AR239" i="27"/>
  <c r="AT239" i="27" s="1"/>
  <c r="V178" i="27"/>
  <c r="W178" i="27" s="1"/>
  <c r="V177" i="27"/>
  <c r="W177" i="27" s="1"/>
  <c r="S245" i="27"/>
  <c r="U245" i="27" s="1"/>
  <c r="V245" i="27" s="1"/>
  <c r="AF183" i="27"/>
  <c r="AJ183" i="27"/>
  <c r="AC180" i="27"/>
  <c r="AC178" i="27" s="1"/>
  <c r="L188" i="27"/>
  <c r="W201" i="27"/>
  <c r="W197" i="27"/>
  <c r="AV228" i="27"/>
  <c r="BF188" i="27"/>
  <c r="BJ188" i="27"/>
  <c r="BQ238" i="27"/>
  <c r="BS238" i="27" s="1"/>
  <c r="BT238" i="27" s="1"/>
  <c r="BT174" i="27"/>
  <c r="BU174" i="27" s="1"/>
  <c r="BU192" i="27"/>
  <c r="BU184" i="27"/>
  <c r="F321" i="27"/>
  <c r="H321" i="27" s="1"/>
  <c r="I321" i="27" s="1"/>
  <c r="I255" i="27"/>
  <c r="J255" i="27" s="1"/>
  <c r="I315" i="27"/>
  <c r="I313" i="27"/>
  <c r="U309" i="27"/>
  <c r="AH256" i="27"/>
  <c r="AI256" i="27" s="1"/>
  <c r="AI283" i="27"/>
  <c r="AI255" i="27"/>
  <c r="D173" i="27"/>
  <c r="D202" i="27"/>
  <c r="D224" i="27" s="1"/>
  <c r="D232" i="27" s="1"/>
  <c r="D237" i="27" s="1"/>
  <c r="AV217" i="27"/>
  <c r="BB180" i="27"/>
  <c r="BB178" i="27" s="1"/>
  <c r="I258" i="27"/>
  <c r="J258" i="27" s="1"/>
  <c r="F325" i="27"/>
  <c r="J276" i="27"/>
  <c r="AI275" i="27"/>
  <c r="AI271" i="27"/>
  <c r="AI291" i="27"/>
  <c r="AI264" i="27"/>
  <c r="O183" i="27"/>
  <c r="W213" i="27"/>
  <c r="W191" i="27"/>
  <c r="W187" i="27"/>
  <c r="W183" i="27"/>
  <c r="AM183" i="27"/>
  <c r="AE188" i="27"/>
  <c r="AI188" i="27"/>
  <c r="AV213" i="27"/>
  <c r="AV193" i="27"/>
  <c r="AV189" i="27"/>
  <c r="AV185" i="27"/>
  <c r="AV201" i="27"/>
  <c r="AV197" i="27"/>
  <c r="BU198" i="27"/>
  <c r="BU206" i="27"/>
  <c r="BU182" i="27"/>
  <c r="BU233" i="27"/>
  <c r="J261" i="27"/>
  <c r="J264" i="27"/>
  <c r="J266" i="27"/>
  <c r="V264" i="27"/>
  <c r="V274" i="27"/>
  <c r="V270" i="27"/>
  <c r="V266" i="27"/>
  <c r="AH310" i="27"/>
  <c r="AI300" i="27"/>
  <c r="AI296" i="27"/>
  <c r="AI295" i="27"/>
  <c r="G183" i="27"/>
  <c r="K183" i="27"/>
  <c r="P183" i="27"/>
  <c r="P193" i="27" s="1"/>
  <c r="P197" i="27" s="1"/>
  <c r="G188" i="27"/>
  <c r="K188" i="27"/>
  <c r="W211" i="27"/>
  <c r="W207" i="27"/>
  <c r="W182" i="27"/>
  <c r="W196" i="27"/>
  <c r="W203" i="27"/>
  <c r="W199" i="27"/>
  <c r="AE183" i="27"/>
  <c r="AN183" i="27"/>
  <c r="AF188" i="27"/>
  <c r="AJ188" i="27"/>
  <c r="AV184" i="27"/>
  <c r="AT247" i="27"/>
  <c r="BE188" i="27"/>
  <c r="BI188" i="27"/>
  <c r="BU212" i="27"/>
  <c r="J273" i="27"/>
  <c r="J269" i="27"/>
  <c r="T323" i="27"/>
  <c r="U323" i="27" s="1"/>
  <c r="V269" i="27"/>
  <c r="V265" i="27"/>
  <c r="AI268" i="27"/>
  <c r="BC12" i="1"/>
  <c r="AH324" i="27"/>
  <c r="AH318" i="27"/>
  <c r="AH316" i="27"/>
  <c r="AH314" i="27"/>
  <c r="AH312" i="27"/>
  <c r="AG332" i="27"/>
  <c r="BU213" i="27"/>
  <c r="BU217" i="27"/>
  <c r="BU211" i="27"/>
  <c r="R257" i="1"/>
  <c r="J262" i="1"/>
  <c r="W176" i="27"/>
  <c r="J277" i="27"/>
  <c r="J265" i="27"/>
  <c r="V277" i="27"/>
  <c r="V273" i="27"/>
  <c r="AI276" i="27"/>
  <c r="AI272" i="27"/>
  <c r="AI280" i="27"/>
  <c r="AI269" i="27"/>
  <c r="AI273" i="27"/>
  <c r="AI281" i="27"/>
  <c r="AI285" i="27"/>
  <c r="AI284" i="27"/>
  <c r="AI289" i="27"/>
  <c r="AI293" i="27"/>
  <c r="AI297" i="27"/>
  <c r="AI301" i="27"/>
  <c r="AI262" i="27"/>
  <c r="AH329" i="27"/>
  <c r="AH258" i="27"/>
  <c r="AI258" i="27" s="1"/>
  <c r="AE322" i="27"/>
  <c r="AG322" i="27" s="1"/>
  <c r="AH322" i="27" s="1"/>
  <c r="AH254" i="27"/>
  <c r="AI254" i="27" s="1"/>
  <c r="AI270" i="27"/>
  <c r="AI261" i="27"/>
  <c r="AI265" i="27"/>
  <c r="AI277" i="27"/>
  <c r="AH259" i="27"/>
  <c r="AI259" i="27" s="1"/>
  <c r="AE328" i="27"/>
  <c r="AG328" i="27" s="1"/>
  <c r="AH328" i="27" s="1"/>
  <c r="AI279" i="27"/>
  <c r="U312" i="27"/>
  <c r="U316" i="27"/>
  <c r="U311" i="27"/>
  <c r="U313" i="27"/>
  <c r="U315" i="27"/>
  <c r="U317" i="27"/>
  <c r="V297" i="27"/>
  <c r="V301" i="27"/>
  <c r="V268" i="27"/>
  <c r="V281" i="27"/>
  <c r="V293" i="27"/>
  <c r="V280" i="27"/>
  <c r="V283" i="27"/>
  <c r="V279" i="27"/>
  <c r="V276" i="27"/>
  <c r="V272" i="27"/>
  <c r="V262" i="27"/>
  <c r="U258" i="27"/>
  <c r="V258" i="27" s="1"/>
  <c r="U328" i="27"/>
  <c r="U321" i="27"/>
  <c r="U322" i="27"/>
  <c r="R327" i="27"/>
  <c r="T327" i="27" s="1"/>
  <c r="U327" i="27" s="1"/>
  <c r="U254" i="27"/>
  <c r="V254" i="27" s="1"/>
  <c r="I327" i="27"/>
  <c r="I326" i="27"/>
  <c r="J284" i="27"/>
  <c r="J280" i="27"/>
  <c r="J301" i="27"/>
  <c r="J297" i="27"/>
  <c r="J293" i="27"/>
  <c r="J289" i="27"/>
  <c r="J300" i="27"/>
  <c r="J268" i="27"/>
  <c r="J272" i="27"/>
  <c r="J254" i="27"/>
  <c r="AH188" i="27"/>
  <c r="AV191" i="27"/>
  <c r="AP183" i="27"/>
  <c r="P257" i="1"/>
  <c r="L262" i="1"/>
  <c r="H262" i="1"/>
  <c r="Q183" i="27"/>
  <c r="W188" i="27"/>
  <c r="W184" i="27"/>
  <c r="AC188" i="27"/>
  <c r="BU229" i="27"/>
  <c r="BU225" i="27"/>
  <c r="BU209" i="27"/>
  <c r="BU186" i="27"/>
  <c r="BU194" i="27"/>
  <c r="BU187" i="27"/>
  <c r="BU180" i="27"/>
  <c r="Q202" i="27"/>
  <c r="AP173" i="27"/>
  <c r="AL178" i="27"/>
  <c r="AH173" i="27"/>
  <c r="AL202" i="27"/>
  <c r="AU174" i="27"/>
  <c r="AV174" i="27" s="1"/>
  <c r="AR238" i="27"/>
  <c r="AT238" i="27" s="1"/>
  <c r="AU238" i="27" s="1"/>
  <c r="V175" i="27"/>
  <c r="W175" i="27" s="1"/>
  <c r="BU207" i="27"/>
  <c r="BQ243" i="27"/>
  <c r="BS243" i="27" s="1"/>
  <c r="BT243" i="27" s="1"/>
  <c r="BT177" i="27"/>
  <c r="BU177" i="27" s="1"/>
  <c r="M202" i="27"/>
  <c r="BO173" i="27"/>
  <c r="BK178" i="27"/>
  <c r="BK202" i="27"/>
  <c r="BG202" i="27"/>
  <c r="H202" i="27"/>
  <c r="W215" i="27"/>
  <c r="BB173" i="27"/>
  <c r="BU188" i="27"/>
  <c r="BU190" i="27"/>
  <c r="BS247" i="27"/>
  <c r="BN178" i="27"/>
  <c r="BN183" i="27"/>
  <c r="I188" i="27"/>
  <c r="W193" i="27"/>
  <c r="W189" i="27"/>
  <c r="W185" i="27"/>
  <c r="S244" i="27"/>
  <c r="AV180" i="27"/>
  <c r="AV199" i="27"/>
  <c r="AV182" i="27"/>
  <c r="BU203" i="27"/>
  <c r="BU216" i="27"/>
  <c r="N173" i="27"/>
  <c r="AM173" i="27"/>
  <c r="AI183" i="27"/>
  <c r="AV216" i="27"/>
  <c r="AV208" i="27"/>
  <c r="AV192" i="27"/>
  <c r="BT244" i="27"/>
  <c r="BU185" i="27"/>
  <c r="BU199" i="27"/>
  <c r="BB202" i="27"/>
  <c r="BB224" i="27" s="1"/>
  <c r="BB232" i="27" s="1"/>
  <c r="BB237" i="27" s="1"/>
  <c r="BU228" i="27"/>
  <c r="BH173" i="27"/>
  <c r="BL178" i="27"/>
  <c r="BH178" i="27"/>
  <c r="BL183" i="27"/>
  <c r="BD188" i="27"/>
  <c r="BT237" i="27"/>
  <c r="BO215" i="27"/>
  <c r="BG188" i="27"/>
  <c r="BH183" i="27"/>
  <c r="BF183" i="27"/>
  <c r="BJ183" i="27"/>
  <c r="BD237" i="27"/>
  <c r="BD232" i="27"/>
  <c r="BD229" i="27" s="1"/>
  <c r="BD224" i="27"/>
  <c r="BD215" i="27"/>
  <c r="BD212" i="27"/>
  <c r="BL215" i="27"/>
  <c r="BT175" i="27"/>
  <c r="BU175" i="27" s="1"/>
  <c r="BU197" i="27"/>
  <c r="BU201" i="27"/>
  <c r="BO212" i="27"/>
  <c r="BT173" i="27"/>
  <c r="BU173" i="27" s="1"/>
  <c r="BT176" i="27"/>
  <c r="BU176" i="27" s="1"/>
  <c r="BT178" i="27"/>
  <c r="BU178" i="27" s="1"/>
  <c r="BO237" i="27"/>
  <c r="BO232" i="27"/>
  <c r="BO229" i="27" s="1"/>
  <c r="BT239" i="27"/>
  <c r="BM224" i="27"/>
  <c r="BM215" i="27"/>
  <c r="BM212" i="27"/>
  <c r="BU227" i="27"/>
  <c r="BU232" i="27"/>
  <c r="BM237" i="27"/>
  <c r="AV229" i="27"/>
  <c r="AV225" i="27"/>
  <c r="AV227" i="27"/>
  <c r="AV204" i="27"/>
  <c r="AV200" i="27"/>
  <c r="AV196" i="27"/>
  <c r="AV203" i="27"/>
  <c r="AV186" i="27"/>
  <c r="AV187" i="27"/>
  <c r="BD12" i="1"/>
  <c r="H257" i="1"/>
  <c r="G257" i="1"/>
  <c r="O257" i="1"/>
  <c r="K257" i="1"/>
  <c r="K262" i="1"/>
  <c r="L257" i="1"/>
  <c r="J257" i="1"/>
  <c r="Q257" i="1"/>
  <c r="M257" i="1"/>
  <c r="I257" i="1"/>
  <c r="M262" i="1"/>
  <c r="I262" i="1"/>
  <c r="AH183" i="27"/>
  <c r="AO224" i="27"/>
  <c r="AO215" i="27"/>
  <c r="AO212" i="27"/>
  <c r="AO232" i="27"/>
  <c r="AO229" i="27" s="1"/>
  <c r="AO237" i="27"/>
  <c r="AK224" i="27"/>
  <c r="AK215" i="27"/>
  <c r="AS239" i="27"/>
  <c r="AV206" i="27"/>
  <c r="AR237" i="27"/>
  <c r="AT237" i="27" s="1"/>
  <c r="AU173" i="27"/>
  <c r="AV173" i="27" s="1"/>
  <c r="AR244" i="27"/>
  <c r="AT244" i="27" s="1"/>
  <c r="AU244" i="27" s="1"/>
  <c r="AU178" i="27"/>
  <c r="AV178" i="27" s="1"/>
  <c r="AG183" i="27"/>
  <c r="AK183" i="27"/>
  <c r="AP237" i="27"/>
  <c r="AP232" i="27"/>
  <c r="AP229" i="27" s="1"/>
  <c r="AP215" i="27"/>
  <c r="AP224" i="27"/>
  <c r="AG215" i="27"/>
  <c r="AG212" i="27"/>
  <c r="AG232" i="27"/>
  <c r="AG229" i="27" s="1"/>
  <c r="AG237" i="27"/>
  <c r="AV188" i="27"/>
  <c r="AR242" i="27"/>
  <c r="AU176" i="27"/>
  <c r="AV176" i="27" s="1"/>
  <c r="AV210" i="27"/>
  <c r="AP212" i="27"/>
  <c r="AS237" i="27"/>
  <c r="AV233" i="27"/>
  <c r="AV211" i="27"/>
  <c r="AV232" i="27"/>
  <c r="AV207" i="27"/>
  <c r="AV231" i="27"/>
  <c r="V239" i="27"/>
  <c r="V246" i="27"/>
  <c r="V241" i="27"/>
  <c r="W227" i="27"/>
  <c r="U235" i="27"/>
  <c r="W235" i="27" s="1"/>
  <c r="U233" i="27"/>
  <c r="W233" i="27" s="1"/>
  <c r="U231" i="27"/>
  <c r="W231" i="27" s="1"/>
  <c r="U229" i="27"/>
  <c r="W229" i="27" s="1"/>
  <c r="U228" i="27"/>
  <c r="W228" i="27" s="1"/>
  <c r="U230" i="27"/>
  <c r="W230" i="27" s="1"/>
  <c r="U232" i="27"/>
  <c r="W232" i="27" s="1"/>
  <c r="U234" i="27"/>
  <c r="W234" i="27" s="1"/>
  <c r="W204" i="27"/>
  <c r="W200" i="27"/>
  <c r="W212" i="27"/>
  <c r="W208" i="27"/>
  <c r="W216" i="27"/>
  <c r="W192" i="27"/>
  <c r="W186" i="27"/>
  <c r="W190" i="27"/>
  <c r="W179" i="27"/>
  <c r="P212" i="27"/>
  <c r="K232" i="27"/>
  <c r="K229" i="27" s="1"/>
  <c r="K237" i="27"/>
  <c r="K212" i="27"/>
  <c r="J188" i="27"/>
  <c r="I183" i="27"/>
  <c r="M183" i="27"/>
  <c r="J183" i="27"/>
  <c r="N183" i="27"/>
  <c r="G224" i="27"/>
  <c r="G215" i="27"/>
  <c r="G237" i="27"/>
  <c r="G232" i="27"/>
  <c r="G229" i="27" s="1"/>
  <c r="F215" i="27"/>
  <c r="F212" i="27"/>
  <c r="J215" i="27"/>
  <c r="J212" i="27"/>
  <c r="K215" i="27"/>
  <c r="P215" i="27"/>
  <c r="J224" i="27"/>
  <c r="J232" i="27"/>
  <c r="J229" i="27" s="1"/>
  <c r="BD49" i="1"/>
  <c r="BD52" i="1"/>
  <c r="BD51" i="1"/>
  <c r="BC92" i="1"/>
  <c r="BC98" i="1"/>
  <c r="BD50" i="1"/>
  <c r="BC62" i="1"/>
  <c r="BC58" i="1"/>
  <c r="BE30" i="1"/>
  <c r="BC66" i="1"/>
  <c r="BC96" i="1"/>
  <c r="BE34" i="1"/>
  <c r="BE26" i="1"/>
  <c r="BC61" i="1"/>
  <c r="BC57" i="1"/>
  <c r="BE45" i="1"/>
  <c r="BE41" i="1"/>
  <c r="BE37" i="1"/>
  <c r="BE33" i="1"/>
  <c r="BE29" i="1"/>
  <c r="BE25" i="1"/>
  <c r="BC79" i="1"/>
  <c r="BC93" i="1"/>
  <c r="F21" i="14"/>
  <c r="BE36" i="1"/>
  <c r="BE32" i="1"/>
  <c r="BE28" i="1"/>
  <c r="BE24" i="1"/>
  <c r="BC78" i="1"/>
  <c r="BC87" i="1"/>
  <c r="BC83" i="1"/>
  <c r="BC89" i="1"/>
  <c r="BC85" i="1"/>
  <c r="BE47" i="1"/>
  <c r="BE43" i="1"/>
  <c r="BE39" i="1"/>
  <c r="BE31" i="1"/>
  <c r="BE27" i="1"/>
  <c r="BE23" i="1"/>
  <c r="BC67" i="1"/>
  <c r="BC64" i="1"/>
  <c r="BC60" i="1"/>
  <c r="BC77" i="1"/>
  <c r="BC101" i="1"/>
  <c r="BC97" i="1"/>
  <c r="BE46" i="1"/>
  <c r="BE42" i="1"/>
  <c r="BE38" i="1"/>
  <c r="BE22" i="1"/>
  <c r="BC100" i="1"/>
  <c r="BC99" i="1"/>
  <c r="BC56" i="1"/>
  <c r="BC90" i="1"/>
  <c r="BC86" i="1"/>
  <c r="BC82" i="1"/>
  <c r="BC94" i="1"/>
  <c r="BC88" i="1"/>
  <c r="BC84" i="1"/>
  <c r="BC102" i="1"/>
  <c r="BC59" i="1"/>
  <c r="BC68" i="1"/>
  <c r="BC63" i="1"/>
  <c r="N257" i="1"/>
  <c r="G276" i="1"/>
  <c r="G311" i="1" s="1"/>
  <c r="H276" i="1"/>
  <c r="H289" i="1" s="1"/>
  <c r="Q276" i="1"/>
  <c r="Q311" i="1" s="1"/>
  <c r="M276" i="1"/>
  <c r="M311" i="1" s="1"/>
  <c r="I276" i="1"/>
  <c r="I289" i="1" s="1"/>
  <c r="Q252" i="1"/>
  <c r="M252" i="1"/>
  <c r="I252" i="1"/>
  <c r="P252" i="1"/>
  <c r="H252" i="1"/>
  <c r="O252" i="1"/>
  <c r="K252" i="1"/>
  <c r="G252" i="1"/>
  <c r="H247" i="1"/>
  <c r="P276" i="1"/>
  <c r="P306" i="1" s="1"/>
  <c r="P303" i="1" s="1"/>
  <c r="L276" i="1"/>
  <c r="L311" i="1" s="1"/>
  <c r="L252" i="1"/>
  <c r="G247" i="1"/>
  <c r="O247" i="1"/>
  <c r="K247" i="1"/>
  <c r="R252" i="1"/>
  <c r="N252" i="1"/>
  <c r="J252" i="1"/>
  <c r="L247" i="1"/>
  <c r="R247" i="1"/>
  <c r="N247" i="1"/>
  <c r="J247" i="1"/>
  <c r="O276" i="1"/>
  <c r="O311" i="1" s="1"/>
  <c r="K276" i="1"/>
  <c r="K311" i="1" s="1"/>
  <c r="P247" i="1"/>
  <c r="Q247" i="1"/>
  <c r="M247" i="1"/>
  <c r="I247" i="1"/>
  <c r="R276" i="1"/>
  <c r="R306" i="1" s="1"/>
  <c r="R303" i="1" s="1"/>
  <c r="N276" i="1"/>
  <c r="N311" i="1" s="1"/>
  <c r="J276" i="1"/>
  <c r="J306" i="1" s="1"/>
  <c r="J303" i="1" s="1"/>
  <c r="CF14" i="1"/>
  <c r="CF15" i="1"/>
  <c r="CF16" i="1"/>
  <c r="CF17" i="1"/>
  <c r="CF18" i="1"/>
  <c r="CF19" i="1"/>
  <c r="CF20" i="1"/>
  <c r="CF21" i="1"/>
  <c r="CF22" i="1"/>
  <c r="CF23" i="1"/>
  <c r="CF24" i="1"/>
  <c r="CF13" i="1"/>
  <c r="BY65" i="1"/>
  <c r="BY66" i="1"/>
  <c r="BY67" i="1"/>
  <c r="BY68" i="1"/>
  <c r="BY69" i="1"/>
  <c r="BY70" i="1"/>
  <c r="BY71" i="1"/>
  <c r="BY72" i="1"/>
  <c r="BY73" i="1"/>
  <c r="BY74" i="1"/>
  <c r="BY75" i="1"/>
  <c r="BY76" i="1"/>
  <c r="BY77" i="1"/>
  <c r="BY64" i="1"/>
  <c r="BY14" i="1"/>
  <c r="BY15" i="1"/>
  <c r="BY16" i="1"/>
  <c r="BY17" i="1"/>
  <c r="BY18" i="1"/>
  <c r="BY19" i="1"/>
  <c r="BY20" i="1"/>
  <c r="BY21" i="1"/>
  <c r="BY22" i="1"/>
  <c r="BY23" i="1"/>
  <c r="BY24" i="1"/>
  <c r="BY25" i="1"/>
  <c r="BY26" i="1"/>
  <c r="BY13" i="1"/>
  <c r="BR68" i="1"/>
  <c r="BR69" i="1"/>
  <c r="BR70" i="1"/>
  <c r="BR71" i="1"/>
  <c r="BR72" i="1"/>
  <c r="BR73" i="1"/>
  <c r="BR74" i="1"/>
  <c r="BR75" i="1"/>
  <c r="BR76" i="1"/>
  <c r="BR77" i="1"/>
  <c r="BR78" i="1"/>
  <c r="BR79" i="1"/>
  <c r="BR67" i="1"/>
  <c r="BR14" i="1"/>
  <c r="BR15" i="1"/>
  <c r="BR16" i="1"/>
  <c r="BR17" i="1"/>
  <c r="BR18" i="1"/>
  <c r="BR19" i="1"/>
  <c r="BR20" i="1"/>
  <c r="BR21" i="1"/>
  <c r="BR22" i="1"/>
  <c r="BR23" i="1"/>
  <c r="BR24" i="1"/>
  <c r="BR25" i="1"/>
  <c r="BR26" i="1"/>
  <c r="BR27" i="1"/>
  <c r="BR13" i="1"/>
  <c r="BJ58" i="1"/>
  <c r="BJ59" i="1"/>
  <c r="BJ60" i="1"/>
  <c r="BJ61" i="1"/>
  <c r="BJ62" i="1"/>
  <c r="BJ63" i="1"/>
  <c r="BJ64" i="1"/>
  <c r="BJ65" i="1"/>
  <c r="BJ66" i="1"/>
  <c r="BJ67" i="1"/>
  <c r="BJ68" i="1"/>
  <c r="BJ69" i="1"/>
  <c r="BJ70" i="1"/>
  <c r="BJ57" i="1"/>
  <c r="BJ14" i="1"/>
  <c r="BJ15" i="1"/>
  <c r="BJ16" i="1"/>
  <c r="BJ17" i="1"/>
  <c r="BJ18" i="1"/>
  <c r="BJ19" i="1"/>
  <c r="BJ20" i="1"/>
  <c r="BJ21" i="1"/>
  <c r="BJ22" i="1"/>
  <c r="BJ23" i="1"/>
  <c r="BJ24" i="1"/>
  <c r="BJ25" i="1"/>
  <c r="BJ13" i="1"/>
  <c r="Z56" i="19"/>
  <c r="BB145" i="20" s="1"/>
  <c r="Z55" i="19"/>
  <c r="AK144" i="20" s="1"/>
  <c r="Z54" i="19"/>
  <c r="Z53" i="19"/>
  <c r="X56" i="19"/>
  <c r="AA63" i="20" s="1"/>
  <c r="X55" i="19"/>
  <c r="AA62" i="20" s="1"/>
  <c r="X54" i="19"/>
  <c r="AA61" i="20" s="1"/>
  <c r="X53" i="19"/>
  <c r="AA60" i="20" s="1"/>
  <c r="U56" i="19"/>
  <c r="Z63" i="20" s="1"/>
  <c r="R56" i="19"/>
  <c r="Y63" i="20" s="1"/>
  <c r="R55" i="19"/>
  <c r="Y62" i="20" s="1"/>
  <c r="R54" i="19"/>
  <c r="Y61" i="20" s="1"/>
  <c r="R53" i="19"/>
  <c r="Y60" i="20" s="1"/>
  <c r="G56" i="19"/>
  <c r="G55" i="19"/>
  <c r="G54" i="19"/>
  <c r="F56" i="19"/>
  <c r="I63" i="20" s="1"/>
  <c r="F55" i="19"/>
  <c r="I62" i="20" s="1"/>
  <c r="F54" i="19"/>
  <c r="I61" i="20" s="1"/>
  <c r="E56" i="19"/>
  <c r="E55" i="19"/>
  <c r="E54" i="19"/>
  <c r="E53" i="19"/>
  <c r="D56" i="19"/>
  <c r="C145" i="20" s="1"/>
  <c r="C200" i="20" s="1"/>
  <c r="D55" i="19"/>
  <c r="C245" i="20" s="1"/>
  <c r="J47" i="14" s="1"/>
  <c r="D54" i="19"/>
  <c r="Y5" i="1"/>
  <c r="F53" i="19"/>
  <c r="I60" i="20" s="1"/>
  <c r="F52" i="19"/>
  <c r="I59" i="20" s="1"/>
  <c r="F51" i="19"/>
  <c r="I58" i="20" s="1"/>
  <c r="F50" i="19"/>
  <c r="I57" i="20" s="1"/>
  <c r="F49" i="19"/>
  <c r="I56" i="20" s="1"/>
  <c r="F48" i="19"/>
  <c r="I55" i="20" s="1"/>
  <c r="F47" i="19"/>
  <c r="I54" i="20" s="1"/>
  <c r="F46" i="19"/>
  <c r="I53" i="20" s="1"/>
  <c r="F45" i="19"/>
  <c r="I52" i="20" s="1"/>
  <c r="F44" i="19"/>
  <c r="I51" i="20" s="1"/>
  <c r="F43" i="19"/>
  <c r="I50" i="20" s="1"/>
  <c r="F42" i="19"/>
  <c r="I49" i="20" s="1"/>
  <c r="F41" i="19"/>
  <c r="I48" i="20" s="1"/>
  <c r="F40" i="19"/>
  <c r="I47" i="20" s="1"/>
  <c r="F39" i="19"/>
  <c r="I46" i="20" s="1"/>
  <c r="F38" i="19"/>
  <c r="I45" i="20" s="1"/>
  <c r="F37" i="19"/>
  <c r="I44" i="20" s="1"/>
  <c r="I43" i="20"/>
  <c r="C78" i="32"/>
  <c r="H78" i="32"/>
  <c r="C79" i="32"/>
  <c r="H79" i="32"/>
  <c r="C80" i="32"/>
  <c r="H80" i="32"/>
  <c r="C81" i="32"/>
  <c r="H81" i="32"/>
  <c r="C82" i="32"/>
  <c r="H82" i="32"/>
  <c r="C83" i="32"/>
  <c r="H83" i="32"/>
  <c r="C84" i="32"/>
  <c r="H84" i="32"/>
  <c r="C85" i="32"/>
  <c r="H85" i="32"/>
  <c r="C86" i="32"/>
  <c r="H86" i="32"/>
  <c r="C87" i="32"/>
  <c r="H87" i="32"/>
  <c r="C88" i="32"/>
  <c r="H88" i="32"/>
  <c r="C89" i="32"/>
  <c r="C90" i="32"/>
  <c r="C91" i="32"/>
  <c r="C92" i="32"/>
  <c r="C93" i="32"/>
  <c r="C94" i="32"/>
  <c r="H94" i="32"/>
  <c r="C95" i="32"/>
  <c r="H95" i="32"/>
  <c r="C96" i="32"/>
  <c r="H96" i="32"/>
  <c r="C97" i="32"/>
  <c r="H97" i="32"/>
  <c r="C98" i="32"/>
  <c r="H98" i="32"/>
  <c r="C99" i="32"/>
  <c r="H99" i="32"/>
  <c r="C100" i="32"/>
  <c r="C101" i="32"/>
  <c r="C102" i="32"/>
  <c r="C103" i="32"/>
  <c r="C104" i="32"/>
  <c r="C105" i="32"/>
  <c r="C106" i="32"/>
  <c r="B46" i="32"/>
  <c r="B47" i="32"/>
  <c r="B48" i="32"/>
  <c r="B49" i="32"/>
  <c r="B50" i="32"/>
  <c r="B51" i="32"/>
  <c r="P232" i="27" l="1"/>
  <c r="P229" i="27" s="1"/>
  <c r="BL212" i="27"/>
  <c r="F232" i="27"/>
  <c r="F229" i="27" s="1"/>
  <c r="F237" i="27"/>
  <c r="BL237" i="27"/>
  <c r="AK232" i="27"/>
  <c r="AK229" i="27" s="1"/>
  <c r="BK193" i="27"/>
  <c r="BK197" i="27" s="1"/>
  <c r="AK237" i="27"/>
  <c r="P224" i="27"/>
  <c r="G286" i="1"/>
  <c r="AO193" i="27"/>
  <c r="AO197" i="27" s="1"/>
  <c r="BE224" i="27"/>
  <c r="BL224" i="27"/>
  <c r="BH215" i="27"/>
  <c r="O193" i="27"/>
  <c r="O196" i="27" s="1"/>
  <c r="N212" i="27"/>
  <c r="X179" i="27"/>
  <c r="N237" i="27"/>
  <c r="BH237" i="27"/>
  <c r="O237" i="27"/>
  <c r="BE237" i="27"/>
  <c r="AE224" i="27"/>
  <c r="AE212" i="27"/>
  <c r="O224" i="27"/>
  <c r="O232" i="27"/>
  <c r="O229" i="27" s="1"/>
  <c r="N232" i="27"/>
  <c r="N229" i="27" s="1"/>
  <c r="AE232" i="27"/>
  <c r="AE229" i="27" s="1"/>
  <c r="BE212" i="27"/>
  <c r="N224" i="27"/>
  <c r="AE237" i="27"/>
  <c r="BE215" i="27"/>
  <c r="BH212" i="27"/>
  <c r="O215" i="27"/>
  <c r="BH224" i="27"/>
  <c r="P198" i="27"/>
  <c r="BN212" i="27"/>
  <c r="BI232" i="27"/>
  <c r="BI229" i="27" s="1"/>
  <c r="AH212" i="27"/>
  <c r="BI212" i="27"/>
  <c r="Q193" i="27"/>
  <c r="Q208" i="27" s="1"/>
  <c r="BK196" i="27"/>
  <c r="BI215" i="27"/>
  <c r="AM237" i="27"/>
  <c r="BI224" i="27"/>
  <c r="I215" i="27"/>
  <c r="O197" i="27"/>
  <c r="BG193" i="27"/>
  <c r="BG208" i="27" s="1"/>
  <c r="L212" i="27"/>
  <c r="BF215" i="27"/>
  <c r="BI237" i="27"/>
  <c r="BJ224" i="27"/>
  <c r="AH90" i="27"/>
  <c r="AB90" i="27"/>
  <c r="AB96" i="27"/>
  <c r="AB99" i="27" s="1"/>
  <c r="AD95" i="27" s="1"/>
  <c r="AD97" i="27" s="1"/>
  <c r="AM89" i="27"/>
  <c r="BF224" i="27"/>
  <c r="H104" i="32"/>
  <c r="I104" i="32"/>
  <c r="AL193" i="27"/>
  <c r="AL196" i="27" s="1"/>
  <c r="AN193" i="27"/>
  <c r="AN198" i="27" s="1"/>
  <c r="I212" i="27"/>
  <c r="I237" i="27"/>
  <c r="AM232" i="27"/>
  <c r="AM229" i="27" s="1"/>
  <c r="I224" i="27"/>
  <c r="AM212" i="27"/>
  <c r="BN237" i="27"/>
  <c r="BJ237" i="27"/>
  <c r="BJ212" i="27"/>
  <c r="AM215" i="27"/>
  <c r="BN215" i="27"/>
  <c r="AM224" i="27"/>
  <c r="BN232" i="27"/>
  <c r="BN229" i="27" s="1"/>
  <c r="BN224" i="27"/>
  <c r="BJ215" i="27"/>
  <c r="BJ232" i="27"/>
  <c r="BJ229" i="27" s="1"/>
  <c r="BF232" i="27"/>
  <c r="BF229" i="27" s="1"/>
  <c r="BF212" i="27"/>
  <c r="BF237" i="27"/>
  <c r="AH232" i="27"/>
  <c r="AH229" i="27" s="1"/>
  <c r="AH237" i="27"/>
  <c r="AH224" i="27"/>
  <c r="BM193" i="27"/>
  <c r="AH215" i="27"/>
  <c r="M193" i="27"/>
  <c r="M198" i="27" s="1"/>
  <c r="L224" i="27"/>
  <c r="L215" i="27"/>
  <c r="D178" i="27"/>
  <c r="D193" i="27" s="1"/>
  <c r="D223" i="27" s="1"/>
  <c r="L232" i="27"/>
  <c r="L229" i="27" s="1"/>
  <c r="L237" i="27"/>
  <c r="E394" i="1"/>
  <c r="G398" i="1" a="1"/>
  <c r="E168" i="1"/>
  <c r="H215" i="27"/>
  <c r="AL212" i="27"/>
  <c r="Q215" i="27"/>
  <c r="AF215" i="27"/>
  <c r="AW181" i="27"/>
  <c r="BG212" i="27"/>
  <c r="M224" i="27"/>
  <c r="AJ232" i="27"/>
  <c r="AJ229" i="27" s="1"/>
  <c r="BK212" i="27"/>
  <c r="X181" i="27"/>
  <c r="BV181" i="27"/>
  <c r="AN215" i="27"/>
  <c r="P196" i="27"/>
  <c r="AI224" i="27"/>
  <c r="AJ279" i="27"/>
  <c r="W279" i="27"/>
  <c r="X195" i="27"/>
  <c r="AJ237" i="27"/>
  <c r="AI212" i="27"/>
  <c r="AI232" i="27"/>
  <c r="AI229" i="27" s="1"/>
  <c r="AI215" i="27"/>
  <c r="AI237" i="27"/>
  <c r="AN232" i="27"/>
  <c r="AN229" i="27" s="1"/>
  <c r="AN224" i="27"/>
  <c r="AJ215" i="27"/>
  <c r="AN237" i="27"/>
  <c r="AN212" i="27"/>
  <c r="AF232" i="27"/>
  <c r="AF229" i="27" s="1"/>
  <c r="AF212" i="27"/>
  <c r="AF224" i="27"/>
  <c r="AJ212" i="27"/>
  <c r="AJ224" i="27"/>
  <c r="AF237" i="27"/>
  <c r="BF193" i="27"/>
  <c r="BF196" i="27" s="1"/>
  <c r="BV179" i="27"/>
  <c r="H193" i="27"/>
  <c r="H198" i="27" s="1"/>
  <c r="BO193" i="27"/>
  <c r="F193" i="27"/>
  <c r="AC212" i="27"/>
  <c r="AC207" i="27" s="1"/>
  <c r="AC225" i="27" s="1"/>
  <c r="AC244" i="27" s="1"/>
  <c r="BE193" i="27"/>
  <c r="BE197" i="27" s="1"/>
  <c r="D212" i="27"/>
  <c r="D207" i="27" s="1"/>
  <c r="D225" i="27" s="1"/>
  <c r="D244" i="27" s="1"/>
  <c r="AU239" i="27"/>
  <c r="J193" i="27"/>
  <c r="AW179" i="27"/>
  <c r="BG237" i="27"/>
  <c r="BI193" i="27"/>
  <c r="BI196" i="27" s="1"/>
  <c r="W261" i="27"/>
  <c r="AE193" i="27"/>
  <c r="K193" i="27"/>
  <c r="AJ193" i="27"/>
  <c r="AJ198" i="27" s="1"/>
  <c r="BK215" i="27"/>
  <c r="BK232" i="27"/>
  <c r="BK229" i="27" s="1"/>
  <c r="BK224" i="27"/>
  <c r="AM193" i="27"/>
  <c r="AM198" i="27" s="1"/>
  <c r="BN193" i="27"/>
  <c r="BN196" i="27" s="1"/>
  <c r="AJ254" i="27"/>
  <c r="AF193" i="27"/>
  <c r="AF197" i="27" s="1"/>
  <c r="L193" i="27"/>
  <c r="L197" i="27" s="1"/>
  <c r="K261" i="27"/>
  <c r="AI193" i="27"/>
  <c r="AI197" i="27" s="1"/>
  <c r="J308" i="27"/>
  <c r="BK237" i="27"/>
  <c r="M212" i="27"/>
  <c r="AL215" i="27"/>
  <c r="BG232" i="27"/>
  <c r="BG229" i="27" s="1"/>
  <c r="AP193" i="27"/>
  <c r="K254" i="27"/>
  <c r="P236" i="27"/>
  <c r="P235" i="27" s="1"/>
  <c r="P223" i="27"/>
  <c r="Q212" i="27"/>
  <c r="M237" i="27"/>
  <c r="AO223" i="27"/>
  <c r="AK193" i="27"/>
  <c r="BJ193" i="27"/>
  <c r="BJ198" i="27" s="1"/>
  <c r="BD193" i="27"/>
  <c r="W254" i="27"/>
  <c r="Q232" i="27"/>
  <c r="Q229" i="27" s="1"/>
  <c r="H232" i="27"/>
  <c r="H229" i="27" s="1"/>
  <c r="AL237" i="27"/>
  <c r="AG193" i="27"/>
  <c r="BG224" i="27"/>
  <c r="BB212" i="27"/>
  <c r="BB207" i="27" s="1"/>
  <c r="BB225" i="27" s="1"/>
  <c r="BB244" i="27" s="1"/>
  <c r="BK223" i="27"/>
  <c r="AC193" i="27"/>
  <c r="AC223" i="27" s="1"/>
  <c r="G193" i="27"/>
  <c r="H212" i="27"/>
  <c r="BB193" i="27"/>
  <c r="BB223" i="27" s="1"/>
  <c r="R267" i="1"/>
  <c r="R310" i="1" s="1"/>
  <c r="Q224" i="27"/>
  <c r="Q237" i="27"/>
  <c r="M232" i="27"/>
  <c r="M229" i="27" s="1"/>
  <c r="H237" i="27"/>
  <c r="N193" i="27"/>
  <c r="AL224" i="27"/>
  <c r="BG215" i="27"/>
  <c r="K258" i="27"/>
  <c r="M215" i="27"/>
  <c r="H224" i="27"/>
  <c r="AL232" i="27"/>
  <c r="AL229" i="27" s="1"/>
  <c r="BH193" i="27"/>
  <c r="X176" i="27"/>
  <c r="AI322" i="27"/>
  <c r="BE8" i="1"/>
  <c r="H16" i="14" s="1"/>
  <c r="AT5" i="27" s="1"/>
  <c r="X173" i="27"/>
  <c r="AI310" i="27"/>
  <c r="AJ261" i="27"/>
  <c r="W258" i="27"/>
  <c r="K279" i="27"/>
  <c r="BV195" i="27"/>
  <c r="J267" i="1"/>
  <c r="J297" i="1" s="1"/>
  <c r="I193" i="27"/>
  <c r="I197" i="27" s="1"/>
  <c r="AW195" i="27"/>
  <c r="AJ258" i="27"/>
  <c r="V309" i="27"/>
  <c r="V321" i="27"/>
  <c r="J320" i="27"/>
  <c r="I267" i="1"/>
  <c r="I282" i="1" s="1"/>
  <c r="AH193" i="27"/>
  <c r="AH197" i="27" s="1"/>
  <c r="Q267" i="1"/>
  <c r="Q310" i="1" s="1"/>
  <c r="Q309" i="1" s="1"/>
  <c r="P208" i="27"/>
  <c r="P207" i="27" s="1"/>
  <c r="P225" i="27" s="1"/>
  <c r="BL193" i="27"/>
  <c r="W239" i="27"/>
  <c r="BU237" i="27"/>
  <c r="X227" i="27"/>
  <c r="BV225" i="27"/>
  <c r="BV176" i="27"/>
  <c r="BV173" i="27"/>
  <c r="AW225" i="27"/>
  <c r="AW176" i="27"/>
  <c r="AU237" i="27"/>
  <c r="AW173" i="27"/>
  <c r="BF36" i="1"/>
  <c r="F23" i="14" s="1"/>
  <c r="BF45" i="1"/>
  <c r="F25" i="14" s="1"/>
  <c r="BF41" i="1"/>
  <c r="F24" i="14" s="1"/>
  <c r="BD96" i="1"/>
  <c r="H21" i="14" s="1"/>
  <c r="BF22" i="1"/>
  <c r="F22" i="14" s="1"/>
  <c r="L164" i="27"/>
  <c r="C246" i="20"/>
  <c r="J48" i="14" s="1"/>
  <c r="C144" i="20"/>
  <c r="G298" i="1"/>
  <c r="O306" i="1"/>
  <c r="O303" i="1" s="1"/>
  <c r="N267" i="1"/>
  <c r="N310" i="1" s="1"/>
  <c r="N309" i="1" s="1"/>
  <c r="H267" i="1"/>
  <c r="H310" i="1" s="1"/>
  <c r="O267" i="1"/>
  <c r="O310" i="1" s="1"/>
  <c r="O309" i="1" s="1"/>
  <c r="G289" i="1"/>
  <c r="G306" i="1"/>
  <c r="G303" i="1" s="1"/>
  <c r="Q289" i="1"/>
  <c r="P311" i="1"/>
  <c r="H298" i="1"/>
  <c r="R311" i="1"/>
  <c r="H306" i="1"/>
  <c r="H303" i="1" s="1"/>
  <c r="H286" i="1"/>
  <c r="H311" i="1"/>
  <c r="Q306" i="1"/>
  <c r="Q303" i="1" s="1"/>
  <c r="R286" i="1"/>
  <c r="Q298" i="1"/>
  <c r="N289" i="1"/>
  <c r="Q286" i="1"/>
  <c r="R289" i="1"/>
  <c r="P289" i="1"/>
  <c r="M267" i="1"/>
  <c r="M297" i="1" s="1"/>
  <c r="N298" i="1"/>
  <c r="I298" i="1"/>
  <c r="M289" i="1"/>
  <c r="J286" i="1"/>
  <c r="M298" i="1"/>
  <c r="J289" i="1"/>
  <c r="P286" i="1"/>
  <c r="I286" i="1"/>
  <c r="I311" i="1"/>
  <c r="M306" i="1"/>
  <c r="M303" i="1" s="1"/>
  <c r="L289" i="1"/>
  <c r="J311" i="1"/>
  <c r="I306" i="1"/>
  <c r="I303" i="1" s="1"/>
  <c r="O289" i="1"/>
  <c r="M286" i="1"/>
  <c r="L298" i="1"/>
  <c r="L267" i="1"/>
  <c r="K267" i="1"/>
  <c r="O286" i="1"/>
  <c r="L306" i="1"/>
  <c r="L303" i="1" s="1"/>
  <c r="J298" i="1"/>
  <c r="L286" i="1"/>
  <c r="O298" i="1"/>
  <c r="P267" i="1"/>
  <c r="G267" i="1"/>
  <c r="N306" i="1"/>
  <c r="N303" i="1" s="1"/>
  <c r="R298" i="1"/>
  <c r="P298" i="1"/>
  <c r="N286" i="1"/>
  <c r="K286" i="1"/>
  <c r="K298" i="1"/>
  <c r="K289" i="1"/>
  <c r="K306" i="1"/>
  <c r="K303" i="1" s="1"/>
  <c r="T144" i="20"/>
  <c r="BB144" i="20"/>
  <c r="BS144" i="20"/>
  <c r="B145" i="20"/>
  <c r="T145" i="20"/>
  <c r="B144" i="20"/>
  <c r="AK145" i="20"/>
  <c r="BS145" i="20"/>
  <c r="G104" i="32"/>
  <c r="Z33" i="19"/>
  <c r="BK236" i="27" l="1"/>
  <c r="BG197" i="27"/>
  <c r="BK208" i="27"/>
  <c r="BK198" i="27"/>
  <c r="AO236" i="27"/>
  <c r="AO235" i="27" s="1"/>
  <c r="AI196" i="27"/>
  <c r="BG223" i="27"/>
  <c r="Q196" i="27"/>
  <c r="AI198" i="27"/>
  <c r="O223" i="27"/>
  <c r="Q197" i="27"/>
  <c r="O198" i="27"/>
  <c r="O208" i="27"/>
  <c r="O207" i="27" s="1"/>
  <c r="O244" i="27" s="1"/>
  <c r="O243" i="27" s="1"/>
  <c r="Q198" i="27"/>
  <c r="O236" i="27"/>
  <c r="O235" i="27" s="1"/>
  <c r="Q236" i="27"/>
  <c r="AO208" i="27"/>
  <c r="AO207" i="27" s="1"/>
  <c r="AO225" i="27" s="1"/>
  <c r="Q223" i="27"/>
  <c r="AO198" i="27"/>
  <c r="AO196" i="27"/>
  <c r="BG196" i="27"/>
  <c r="AF196" i="27"/>
  <c r="BG198" i="27"/>
  <c r="BN198" i="27"/>
  <c r="I198" i="27"/>
  <c r="BG236" i="27"/>
  <c r="BG235" i="27" s="1"/>
  <c r="AF198" i="27"/>
  <c r="BN197" i="27"/>
  <c r="BM198" i="27"/>
  <c r="BM196" i="27"/>
  <c r="BM197" i="27"/>
  <c r="BF197" i="27"/>
  <c r="M197" i="27"/>
  <c r="AN197" i="27"/>
  <c r="BH198" i="27"/>
  <c r="BH197" i="27"/>
  <c r="BH196" i="27"/>
  <c r="BD198" i="27"/>
  <c r="BD197" i="27"/>
  <c r="BD196" i="27"/>
  <c r="BE198" i="27"/>
  <c r="BL197" i="27"/>
  <c r="BL196" i="27"/>
  <c r="BL198" i="27"/>
  <c r="G198" i="27"/>
  <c r="G197" i="27"/>
  <c r="L198" i="27"/>
  <c r="BE196" i="27"/>
  <c r="AJ196" i="27"/>
  <c r="H197" i="27"/>
  <c r="BI197" i="27"/>
  <c r="J198" i="27"/>
  <c r="J197" i="27"/>
  <c r="BF198" i="27"/>
  <c r="AN196" i="27"/>
  <c r="AK198" i="27"/>
  <c r="AK197" i="27"/>
  <c r="AK196" i="27"/>
  <c r="F198" i="27"/>
  <c r="F197" i="27"/>
  <c r="AJ197" i="27"/>
  <c r="AL198" i="27"/>
  <c r="BI198" i="27"/>
  <c r="AG198" i="27"/>
  <c r="AG197" i="27"/>
  <c r="AG196" i="27"/>
  <c r="K198" i="27"/>
  <c r="K197" i="27"/>
  <c r="BO198" i="27"/>
  <c r="BO197" i="27"/>
  <c r="BO196" i="27"/>
  <c r="BJ196" i="27"/>
  <c r="AM196" i="27"/>
  <c r="AH196" i="27"/>
  <c r="AL197" i="27"/>
  <c r="AE198" i="27"/>
  <c r="AE197" i="27"/>
  <c r="AE196" i="27"/>
  <c r="BJ197" i="27"/>
  <c r="AM197" i="27"/>
  <c r="AH198" i="27"/>
  <c r="AP196" i="27"/>
  <c r="AP198" i="27"/>
  <c r="AP197" i="27"/>
  <c r="N197" i="27"/>
  <c r="N198" i="27"/>
  <c r="AH87" i="27"/>
  <c r="AI87" i="27" s="1"/>
  <c r="AM86" i="27"/>
  <c r="AM88" i="27"/>
  <c r="AM79" i="27"/>
  <c r="AB79" i="27"/>
  <c r="AC79" i="27" s="1"/>
  <c r="AH79" i="27"/>
  <c r="AI79" i="27" s="1"/>
  <c r="AB92" i="27"/>
  <c r="AC92" i="27" s="1"/>
  <c r="AH92" i="27"/>
  <c r="AI92" i="27" s="1"/>
  <c r="AH86" i="27"/>
  <c r="AI86" i="27" s="1"/>
  <c r="AB86" i="27"/>
  <c r="AC86" i="27" s="1"/>
  <c r="AB88" i="27"/>
  <c r="AC88" i="27" s="1"/>
  <c r="AH88" i="27"/>
  <c r="AI88" i="27" s="1"/>
  <c r="AM91" i="27"/>
  <c r="AB89" i="27"/>
  <c r="AC89" i="27" s="1"/>
  <c r="AH89" i="27"/>
  <c r="AI89" i="27" s="1"/>
  <c r="AB87" i="27"/>
  <c r="AC87" i="27" s="1"/>
  <c r="AM85" i="27"/>
  <c r="AL208" i="27"/>
  <c r="AL207" i="27" s="1"/>
  <c r="AL225" i="27" s="1"/>
  <c r="AL223" i="27"/>
  <c r="AL236" i="27"/>
  <c r="AL235" i="27" s="1"/>
  <c r="AN208" i="27"/>
  <c r="AN207" i="27" s="1"/>
  <c r="AN225" i="27" s="1"/>
  <c r="AN223" i="27"/>
  <c r="AN236" i="27"/>
  <c r="AN235" i="27" s="1"/>
  <c r="M223" i="27"/>
  <c r="M236" i="27"/>
  <c r="M235" i="27" s="1"/>
  <c r="M208" i="27"/>
  <c r="M207" i="27" s="1"/>
  <c r="M225" i="27" s="1"/>
  <c r="BM236" i="27"/>
  <c r="BM235" i="27" s="1"/>
  <c r="M196" i="27"/>
  <c r="BM208" i="27"/>
  <c r="BM207" i="27" s="1"/>
  <c r="BM244" i="27" s="1"/>
  <c r="BM243" i="27" s="1"/>
  <c r="BM223" i="27"/>
  <c r="AI90" i="27"/>
  <c r="AC90" i="27"/>
  <c r="BK235" i="27"/>
  <c r="AD63" i="20"/>
  <c r="BG145" i="20" s="1"/>
  <c r="BP145" i="20" s="1"/>
  <c r="G398" i="1"/>
  <c r="G397" i="1" s="1"/>
  <c r="I397" i="1"/>
  <c r="H397" i="1"/>
  <c r="D215" i="27"/>
  <c r="AC222" i="27"/>
  <c r="AC247" i="27" s="1"/>
  <c r="BK207" i="27"/>
  <c r="BK244" i="27" s="1"/>
  <c r="BK243" i="27" s="1"/>
  <c r="Q207" i="27"/>
  <c r="Q225" i="27" s="1"/>
  <c r="BG207" i="27"/>
  <c r="BG225" i="27" s="1"/>
  <c r="AK223" i="27"/>
  <c r="L208" i="27"/>
  <c r="L207" i="27" s="1"/>
  <c r="L225" i="27" s="1"/>
  <c r="L196" i="27"/>
  <c r="AM208" i="27"/>
  <c r="AM207" i="27" s="1"/>
  <c r="AM244" i="27" s="1"/>
  <c r="AM243" i="27" s="1"/>
  <c r="AJ223" i="27"/>
  <c r="BE236" i="27"/>
  <c r="BE235" i="27" s="1"/>
  <c r="H208" i="27"/>
  <c r="H207" i="27" s="1"/>
  <c r="H225" i="27" s="1"/>
  <c r="I208" i="27"/>
  <c r="I207" i="27" s="1"/>
  <c r="I244" i="27" s="1"/>
  <c r="I243" i="27" s="1"/>
  <c r="I196" i="27"/>
  <c r="BH223" i="27"/>
  <c r="N208" i="27"/>
  <c r="N207" i="27" s="1"/>
  <c r="N225" i="27" s="1"/>
  <c r="N196" i="27"/>
  <c r="G208" i="27"/>
  <c r="G207" i="27" s="1"/>
  <c r="G225" i="27" s="1"/>
  <c r="G196" i="27"/>
  <c r="BD208" i="27"/>
  <c r="BD207" i="27" s="1"/>
  <c r="BD225" i="27" s="1"/>
  <c r="AF236" i="27"/>
  <c r="AF235" i="27" s="1"/>
  <c r="K236" i="27"/>
  <c r="K235" i="27" s="1"/>
  <c r="K196" i="27"/>
  <c r="J236" i="27"/>
  <c r="J235" i="27" s="1"/>
  <c r="J196" i="27"/>
  <c r="BL208" i="27"/>
  <c r="BL207" i="27" s="1"/>
  <c r="BL244" i="27" s="1"/>
  <c r="BL243" i="27" s="1"/>
  <c r="AH208" i="27"/>
  <c r="AH207" i="27" s="1"/>
  <c r="AH244" i="27" s="1"/>
  <c r="AH243" i="27" s="1"/>
  <c r="BJ208" i="27"/>
  <c r="BJ207" i="27" s="1"/>
  <c r="BJ244" i="27" s="1"/>
  <c r="BJ243" i="27" s="1"/>
  <c r="AI223" i="27"/>
  <c r="AE236" i="27"/>
  <c r="AE235" i="27" s="1"/>
  <c r="BI208" i="27"/>
  <c r="BI207" i="27" s="1"/>
  <c r="BI225" i="27" s="1"/>
  <c r="F208" i="27"/>
  <c r="F207" i="27" s="1"/>
  <c r="F225" i="27" s="1"/>
  <c r="F196" i="27"/>
  <c r="BF208" i="27"/>
  <c r="BF207" i="27" s="1"/>
  <c r="BF225" i="27" s="1"/>
  <c r="H196" i="27"/>
  <c r="AG223" i="27"/>
  <c r="AP236" i="27"/>
  <c r="AP235" i="27" s="1"/>
  <c r="BN208" i="27"/>
  <c r="BN207" i="27" s="1"/>
  <c r="BN225" i="27" s="1"/>
  <c r="BO208" i="27"/>
  <c r="BO207" i="27" s="1"/>
  <c r="BO244" i="27" s="1"/>
  <c r="BO243" i="27" s="1"/>
  <c r="H223" i="27"/>
  <c r="AC229" i="27"/>
  <c r="AC215" i="27"/>
  <c r="BF223" i="27"/>
  <c r="BF236" i="27"/>
  <c r="BF235" i="27" s="1"/>
  <c r="BE223" i="27"/>
  <c r="BO223" i="27"/>
  <c r="BO236" i="27"/>
  <c r="BO235" i="27" s="1"/>
  <c r="H236" i="27"/>
  <c r="H235" i="27" s="1"/>
  <c r="L236" i="27"/>
  <c r="L235" i="27" s="1"/>
  <c r="F236" i="27"/>
  <c r="F235" i="27" s="1"/>
  <c r="AM236" i="27"/>
  <c r="AM235" i="27" s="1"/>
  <c r="J208" i="27"/>
  <c r="J207" i="27" s="1"/>
  <c r="J225" i="27" s="1"/>
  <c r="J223" i="27"/>
  <c r="BJ223" i="27"/>
  <c r="F223" i="27"/>
  <c r="AJ236" i="27"/>
  <c r="AJ235" i="27" s="1"/>
  <c r="D236" i="27"/>
  <c r="D222" i="27"/>
  <c r="D247" i="27" s="1"/>
  <c r="BE208" i="27"/>
  <c r="BE207" i="27" s="1"/>
  <c r="BE225" i="27" s="1"/>
  <c r="BI236" i="27"/>
  <c r="BI235" i="27" s="1"/>
  <c r="AK236" i="27"/>
  <c r="AK235" i="27" s="1"/>
  <c r="AP223" i="27"/>
  <c r="AV237" i="27"/>
  <c r="BI223" i="27"/>
  <c r="AE208" i="27"/>
  <c r="AE207" i="27" s="1"/>
  <c r="AE244" i="27" s="1"/>
  <c r="AE243" i="27" s="1"/>
  <c r="BB229" i="27"/>
  <c r="AI236" i="27"/>
  <c r="AI235" i="27" s="1"/>
  <c r="BH236" i="27"/>
  <c r="BH235" i="27" s="1"/>
  <c r="AJ208" i="27"/>
  <c r="AJ207" i="27" s="1"/>
  <c r="AJ225" i="27" s="1"/>
  <c r="AC236" i="27"/>
  <c r="AM223" i="27"/>
  <c r="J282" i="1"/>
  <c r="J281" i="1" s="1"/>
  <c r="J299" i="1" s="1"/>
  <c r="J296" i="1" s="1"/>
  <c r="J321" i="1" s="1"/>
  <c r="J320" i="1" s="1"/>
  <c r="BN236" i="27"/>
  <c r="BN235" i="27" s="1"/>
  <c r="L223" i="27"/>
  <c r="K208" i="27"/>
  <c r="K207" i="27" s="1"/>
  <c r="K244" i="27" s="1"/>
  <c r="K243" i="27" s="1"/>
  <c r="K223" i="27"/>
  <c r="D229" i="27"/>
  <c r="G236" i="27"/>
  <c r="G235" i="27" s="1"/>
  <c r="BJ236" i="27"/>
  <c r="BJ235" i="27" s="1"/>
  <c r="BB215" i="27"/>
  <c r="G223" i="27"/>
  <c r="I223" i="27"/>
  <c r="BD236" i="27"/>
  <c r="BD235" i="27" s="1"/>
  <c r="AE223" i="27"/>
  <c r="BN223" i="27"/>
  <c r="BB222" i="27"/>
  <c r="BB247" i="27" s="1"/>
  <c r="AF208" i="27"/>
  <c r="AF207" i="27" s="1"/>
  <c r="AF244" i="27" s="1"/>
  <c r="AF243" i="27" s="1"/>
  <c r="N223" i="27"/>
  <c r="AP208" i="27"/>
  <c r="AP207" i="27" s="1"/>
  <c r="AP244" i="27" s="1"/>
  <c r="AP243" i="27" s="1"/>
  <c r="AI208" i="27"/>
  <c r="AI207" i="27" s="1"/>
  <c r="AI244" i="27" s="1"/>
  <c r="AI243" i="27" s="1"/>
  <c r="AF223" i="27"/>
  <c r="BD223" i="27"/>
  <c r="P222" i="27"/>
  <c r="P247" i="27" s="1"/>
  <c r="P246" i="27" s="1"/>
  <c r="AK208" i="27"/>
  <c r="AK207" i="27" s="1"/>
  <c r="AK225" i="27" s="1"/>
  <c r="AO222" i="27"/>
  <c r="AO247" i="27" s="1"/>
  <c r="AO246" i="27" s="1"/>
  <c r="BH208" i="27"/>
  <c r="BH207" i="27" s="1"/>
  <c r="BH244" i="27" s="1"/>
  <c r="BH243" i="27" s="1"/>
  <c r="AO244" i="27"/>
  <c r="AO243" i="27" s="1"/>
  <c r="AG236" i="27"/>
  <c r="AG235" i="27" s="1"/>
  <c r="Q297" i="1"/>
  <c r="R282" i="1"/>
  <c r="R281" i="1" s="1"/>
  <c r="R299" i="1" s="1"/>
  <c r="AG208" i="27"/>
  <c r="AG207" i="27" s="1"/>
  <c r="AG244" i="27" s="1"/>
  <c r="AG243" i="27" s="1"/>
  <c r="R297" i="1"/>
  <c r="BL236" i="27"/>
  <c r="BL235" i="27" s="1"/>
  <c r="BB236" i="27"/>
  <c r="N236" i="27"/>
  <c r="N235" i="27" s="1"/>
  <c r="I297" i="1"/>
  <c r="I236" i="27"/>
  <c r="I235" i="27" s="1"/>
  <c r="Q235" i="27"/>
  <c r="J310" i="1"/>
  <c r="J309" i="1" s="1"/>
  <c r="I310" i="1"/>
  <c r="I309" i="1" s="1"/>
  <c r="I281" i="1"/>
  <c r="I318" i="1" s="1"/>
  <c r="I317" i="1" s="1"/>
  <c r="AH236" i="27"/>
  <c r="AH235" i="27" s="1"/>
  <c r="AH223" i="27"/>
  <c r="Q282" i="1"/>
  <c r="Q281" i="1" s="1"/>
  <c r="Q299" i="1" s="1"/>
  <c r="P244" i="27"/>
  <c r="P243" i="27" s="1"/>
  <c r="BL223" i="27"/>
  <c r="L165" i="27"/>
  <c r="H282" i="1"/>
  <c r="H281" i="1" s="1"/>
  <c r="H318" i="1" s="1"/>
  <c r="H317" i="1" s="1"/>
  <c r="N282" i="1"/>
  <c r="N281" i="1" s="1"/>
  <c r="N318" i="1" s="1"/>
  <c r="N317" i="1" s="1"/>
  <c r="N297" i="1"/>
  <c r="O297" i="1"/>
  <c r="O282" i="1"/>
  <c r="O281" i="1" s="1"/>
  <c r="H297" i="1"/>
  <c r="E289" i="1"/>
  <c r="E303" i="1"/>
  <c r="M310" i="1"/>
  <c r="M309" i="1" s="1"/>
  <c r="M282" i="1"/>
  <c r="M281" i="1" s="1"/>
  <c r="R309" i="1"/>
  <c r="H309" i="1"/>
  <c r="G297" i="1"/>
  <c r="G282" i="1"/>
  <c r="G310" i="1"/>
  <c r="G309" i="1" s="1"/>
  <c r="L282" i="1"/>
  <c r="L281" i="1" s="1"/>
  <c r="L318" i="1" s="1"/>
  <c r="L317" i="1" s="1"/>
  <c r="L310" i="1"/>
  <c r="L309" i="1" s="1"/>
  <c r="L297" i="1"/>
  <c r="K310" i="1"/>
  <c r="K309" i="1" s="1"/>
  <c r="K297" i="1"/>
  <c r="K282" i="1"/>
  <c r="K281" i="1" s="1"/>
  <c r="K299" i="1" s="1"/>
  <c r="P310" i="1"/>
  <c r="P309" i="1" s="1"/>
  <c r="P282" i="1"/>
  <c r="P281" i="1" s="1"/>
  <c r="P299" i="1" s="1"/>
  <c r="P297" i="1"/>
  <c r="F33" i="19"/>
  <c r="F32" i="19"/>
  <c r="F31" i="19"/>
  <c r="F30" i="19"/>
  <c r="F29" i="19"/>
  <c r="F28" i="19"/>
  <c r="F27" i="19"/>
  <c r="F26" i="19"/>
  <c r="F25" i="19"/>
  <c r="F24" i="19"/>
  <c r="F23" i="19"/>
  <c r="F22" i="19"/>
  <c r="F21" i="19"/>
  <c r="F20" i="19"/>
  <c r="F19" i="19"/>
  <c r="F18" i="19"/>
  <c r="F17" i="19"/>
  <c r="F16" i="19"/>
  <c r="F14" i="19"/>
  <c r="F15" i="19"/>
  <c r="B33" i="24"/>
  <c r="B34" i="24"/>
  <c r="B35" i="24"/>
  <c r="B36" i="24"/>
  <c r="B37" i="24"/>
  <c r="B38" i="24"/>
  <c r="B40" i="24"/>
  <c r="B41" i="24"/>
  <c r="B42" i="24"/>
  <c r="B43" i="24"/>
  <c r="B44" i="24"/>
  <c r="B45" i="24"/>
  <c r="B46" i="24"/>
  <c r="B32" i="24"/>
  <c r="X52" i="19"/>
  <c r="AA59" i="20" s="1"/>
  <c r="X51" i="19"/>
  <c r="AA58" i="20" s="1"/>
  <c r="X50" i="19"/>
  <c r="AA57" i="20" s="1"/>
  <c r="X49" i="19"/>
  <c r="AA56" i="20" s="1"/>
  <c r="X48" i="19"/>
  <c r="AA55" i="20" s="1"/>
  <c r="X47" i="19"/>
  <c r="AA54" i="20" s="1"/>
  <c r="X46" i="19"/>
  <c r="AA53" i="20" s="1"/>
  <c r="X45" i="19"/>
  <c r="AA52" i="20" s="1"/>
  <c r="X44" i="19"/>
  <c r="AA51" i="20" s="1"/>
  <c r="X43" i="19"/>
  <c r="AA50" i="20" s="1"/>
  <c r="X42" i="19"/>
  <c r="AA49" i="20" s="1"/>
  <c r="X41" i="19"/>
  <c r="AA48" i="20" s="1"/>
  <c r="X40" i="19"/>
  <c r="AA47" i="20" s="1"/>
  <c r="X39" i="19"/>
  <c r="AA46" i="20" s="1"/>
  <c r="X38" i="19"/>
  <c r="AA45" i="20" s="1"/>
  <c r="X37" i="19"/>
  <c r="AA44" i="20" s="1"/>
  <c r="Q33" i="24"/>
  <c r="Q34" i="24"/>
  <c r="Q35" i="24"/>
  <c r="Q36" i="24"/>
  <c r="Q37" i="24"/>
  <c r="Q39" i="24"/>
  <c r="Q40" i="24"/>
  <c r="Q41" i="24"/>
  <c r="Q42" i="24"/>
  <c r="Q43" i="24"/>
  <c r="Q44" i="24"/>
  <c r="Q45" i="24"/>
  <c r="Q32" i="24"/>
  <c r="E33" i="24"/>
  <c r="E34" i="24"/>
  <c r="E35" i="24"/>
  <c r="E36" i="24"/>
  <c r="E37" i="24"/>
  <c r="E38" i="24"/>
  <c r="E40" i="24"/>
  <c r="E41" i="24"/>
  <c r="E42" i="24"/>
  <c r="E43" i="24"/>
  <c r="E44" i="24"/>
  <c r="E45" i="24"/>
  <c r="E46" i="24"/>
  <c r="E32" i="24"/>
  <c r="W33" i="24"/>
  <c r="W34" i="24"/>
  <c r="W35" i="24"/>
  <c r="W36" i="24"/>
  <c r="W38" i="24"/>
  <c r="W39" i="24"/>
  <c r="W40" i="24"/>
  <c r="W41" i="24"/>
  <c r="W42" i="24"/>
  <c r="W43" i="24"/>
  <c r="W44" i="24"/>
  <c r="W32" i="24"/>
  <c r="U53" i="19"/>
  <c r="Z60" i="20" s="1"/>
  <c r="U52" i="19"/>
  <c r="Z59" i="20" s="1"/>
  <c r="T33" i="24"/>
  <c r="T34" i="24"/>
  <c r="T35" i="24"/>
  <c r="T36" i="24"/>
  <c r="T38" i="24"/>
  <c r="T39" i="24"/>
  <c r="T40" i="24"/>
  <c r="T41" i="24"/>
  <c r="T42" i="24"/>
  <c r="T43" i="24"/>
  <c r="T44" i="24"/>
  <c r="U51" i="19"/>
  <c r="Z58" i="20" s="1"/>
  <c r="T32" i="24"/>
  <c r="U50" i="19"/>
  <c r="Z57" i="20" s="1"/>
  <c r="U49" i="19"/>
  <c r="Z56" i="20" s="1"/>
  <c r="U47" i="19"/>
  <c r="Z54" i="20" s="1"/>
  <c r="H33" i="24"/>
  <c r="H34" i="24"/>
  <c r="H35" i="24"/>
  <c r="H36" i="24"/>
  <c r="H37" i="24"/>
  <c r="H38" i="24"/>
  <c r="H40" i="24"/>
  <c r="H41" i="24"/>
  <c r="H42" i="24"/>
  <c r="H43" i="24"/>
  <c r="H44" i="24"/>
  <c r="H45" i="24"/>
  <c r="H46" i="24"/>
  <c r="U46" i="19"/>
  <c r="Z53" i="20" s="1"/>
  <c r="H32" i="24"/>
  <c r="U45" i="19"/>
  <c r="Z52" i="20" s="1"/>
  <c r="U44" i="19"/>
  <c r="Z51" i="20" s="1"/>
  <c r="U43" i="19"/>
  <c r="Z50" i="20" s="1"/>
  <c r="N33" i="24"/>
  <c r="N34" i="24"/>
  <c r="N35" i="24"/>
  <c r="N36" i="24"/>
  <c r="N37" i="24"/>
  <c r="N39" i="24"/>
  <c r="N40" i="24"/>
  <c r="N41" i="24"/>
  <c r="N42" i="24"/>
  <c r="N43" i="24"/>
  <c r="N44" i="24"/>
  <c r="N45" i="24"/>
  <c r="N46" i="24"/>
  <c r="U42" i="19"/>
  <c r="Z49" i="20" s="1"/>
  <c r="N32" i="24"/>
  <c r="U41" i="19"/>
  <c r="Z48" i="20" s="1"/>
  <c r="U40" i="19"/>
  <c r="Z47" i="20" s="1"/>
  <c r="U39" i="19"/>
  <c r="Z46" i="20" s="1"/>
  <c r="U38" i="19"/>
  <c r="Z45" i="20" s="1"/>
  <c r="K44" i="24"/>
  <c r="K45" i="24"/>
  <c r="K46" i="24"/>
  <c r="U37" i="19"/>
  <c r="Z44" i="20" s="1"/>
  <c r="K33" i="24"/>
  <c r="K34" i="24"/>
  <c r="K35" i="24"/>
  <c r="K36" i="24"/>
  <c r="K37" i="24"/>
  <c r="K39" i="24"/>
  <c r="K40" i="24"/>
  <c r="K41" i="24"/>
  <c r="K42" i="24"/>
  <c r="K43" i="24"/>
  <c r="K32" i="24"/>
  <c r="R52" i="19"/>
  <c r="Y59" i="20" s="1"/>
  <c r="R51" i="19"/>
  <c r="Y58" i="20" s="1"/>
  <c r="R50" i="19"/>
  <c r="Y57" i="20" s="1"/>
  <c r="R49" i="19"/>
  <c r="Y56" i="20" s="1"/>
  <c r="R48" i="19"/>
  <c r="Y55" i="20" s="1"/>
  <c r="R47" i="19"/>
  <c r="Y54" i="20" s="1"/>
  <c r="R46" i="19"/>
  <c r="Y53" i="20" s="1"/>
  <c r="R45" i="19"/>
  <c r="Y52" i="20" s="1"/>
  <c r="R44" i="19"/>
  <c r="Y51" i="20" s="1"/>
  <c r="R43" i="19"/>
  <c r="Y50" i="20" s="1"/>
  <c r="R42" i="19"/>
  <c r="Y49" i="20" s="1"/>
  <c r="R41" i="19"/>
  <c r="Y48" i="20" s="1"/>
  <c r="R40" i="19"/>
  <c r="Y47" i="20" s="1"/>
  <c r="R39" i="19"/>
  <c r="Y46" i="20" s="1"/>
  <c r="R38" i="19"/>
  <c r="Y45" i="20" s="1"/>
  <c r="R37" i="19"/>
  <c r="Y44" i="20" s="1"/>
  <c r="O225" i="27" l="1"/>
  <c r="O222" i="27" s="1"/>
  <c r="O247" i="27" s="1"/>
  <c r="O246" i="27" s="1"/>
  <c r="G281" i="1"/>
  <c r="G318" i="1" s="1"/>
  <c r="G317" i="1" s="1"/>
  <c r="BG222" i="27"/>
  <c r="BG247" i="27" s="1"/>
  <c r="BG246" i="27" s="1"/>
  <c r="Q222" i="27"/>
  <c r="Q247" i="27" s="1"/>
  <c r="Q246" i="27" s="1"/>
  <c r="AL222" i="27"/>
  <c r="AL247" i="27" s="1"/>
  <c r="AL246" i="27" s="1"/>
  <c r="R196" i="27"/>
  <c r="BP196" i="27"/>
  <c r="AN222" i="27"/>
  <c r="AN247" i="27" s="1"/>
  <c r="AN246" i="27" s="1"/>
  <c r="AB83" i="27"/>
  <c r="AC83" i="27" s="1"/>
  <c r="AH83" i="27"/>
  <c r="AI83" i="27" s="1"/>
  <c r="AB84" i="27"/>
  <c r="AC84" i="27" s="1"/>
  <c r="AH84" i="27"/>
  <c r="AI84" i="27" s="1"/>
  <c r="BM225" i="27"/>
  <c r="BM222" i="27" s="1"/>
  <c r="BM247" i="27" s="1"/>
  <c r="BM246" i="27" s="1"/>
  <c r="M222" i="27"/>
  <c r="M247" i="27" s="1"/>
  <c r="M246" i="27" s="1"/>
  <c r="BI244" i="27"/>
  <c r="BI243" i="27" s="1"/>
  <c r="Q244" i="27"/>
  <c r="Q243" i="27" s="1"/>
  <c r="AM225" i="27"/>
  <c r="AM222" i="27" s="1"/>
  <c r="AM247" i="27" s="1"/>
  <c r="AM246" i="27" s="1"/>
  <c r="Y145" i="20"/>
  <c r="AP145" i="20"/>
  <c r="H145" i="20"/>
  <c r="E397" i="1"/>
  <c r="BG244" i="27"/>
  <c r="BG243" i="27" s="1"/>
  <c r="G244" i="27"/>
  <c r="G243" i="27" s="1"/>
  <c r="AN244" i="27"/>
  <c r="AN243" i="27" s="1"/>
  <c r="BL225" i="27"/>
  <c r="BL222" i="27" s="1"/>
  <c r="BL247" i="27" s="1"/>
  <c r="BL246" i="27" s="1"/>
  <c r="BF244" i="27"/>
  <c r="BF243" i="27" s="1"/>
  <c r="BN244" i="27"/>
  <c r="BN243" i="27" s="1"/>
  <c r="BJ225" i="27"/>
  <c r="BJ222" i="27" s="1"/>
  <c r="BJ247" i="27" s="1"/>
  <c r="BJ246" i="27" s="1"/>
  <c r="AK222" i="27"/>
  <c r="AK247" i="27" s="1"/>
  <c r="AK246" i="27" s="1"/>
  <c r="AL244" i="27"/>
  <c r="AL243" i="27" s="1"/>
  <c r="BK225" i="27"/>
  <c r="BK222" i="27" s="1"/>
  <c r="BK247" i="27" s="1"/>
  <c r="BK246" i="27" s="1"/>
  <c r="BF222" i="27"/>
  <c r="BF247" i="27" s="1"/>
  <c r="BF246" i="27" s="1"/>
  <c r="BO225" i="27"/>
  <c r="BO222" i="27" s="1"/>
  <c r="BO247" i="27" s="1"/>
  <c r="BO246" i="27" s="1"/>
  <c r="I225" i="27"/>
  <c r="I222" i="27" s="1"/>
  <c r="I247" i="27" s="1"/>
  <c r="I246" i="27" s="1"/>
  <c r="BD244" i="27"/>
  <c r="BD243" i="27" s="1"/>
  <c r="AH225" i="27"/>
  <c r="AH222" i="27" s="1"/>
  <c r="AH247" i="27" s="1"/>
  <c r="AH246" i="27" s="1"/>
  <c r="AJ222" i="27"/>
  <c r="AJ247" i="27" s="1"/>
  <c r="AJ246" i="27" s="1"/>
  <c r="BE222" i="27"/>
  <c r="BE247" i="27" s="1"/>
  <c r="BE246" i="27" s="1"/>
  <c r="L222" i="27"/>
  <c r="L247" i="27" s="1"/>
  <c r="L246" i="27" s="1"/>
  <c r="F244" i="27"/>
  <c r="F243" i="27" s="1"/>
  <c r="N244" i="27"/>
  <c r="N243" i="27" s="1"/>
  <c r="L244" i="27"/>
  <c r="L243" i="27" s="1"/>
  <c r="H222" i="27"/>
  <c r="H247" i="27" s="1"/>
  <c r="H246" i="27" s="1"/>
  <c r="B134" i="27"/>
  <c r="AM84" i="27" s="1"/>
  <c r="AN84" i="27" s="1"/>
  <c r="R38" i="24" s="1"/>
  <c r="AQ196" i="27"/>
  <c r="H244" i="27"/>
  <c r="H243" i="27" s="1"/>
  <c r="F222" i="27"/>
  <c r="F247" i="27" s="1"/>
  <c r="F246" i="27" s="1"/>
  <c r="J244" i="27"/>
  <c r="J243" i="27" s="1"/>
  <c r="BE244" i="27"/>
  <c r="BE243" i="27" s="1"/>
  <c r="J222" i="27"/>
  <c r="J247" i="27" s="1"/>
  <c r="J246" i="27" s="1"/>
  <c r="BI222" i="27"/>
  <c r="BI247" i="27" s="1"/>
  <c r="BI246" i="27" s="1"/>
  <c r="AF225" i="27"/>
  <c r="AF222" i="27" s="1"/>
  <c r="AF247" i="27" s="1"/>
  <c r="AF246" i="27" s="1"/>
  <c r="AI225" i="27"/>
  <c r="AI222" i="27" s="1"/>
  <c r="AI247" i="27" s="1"/>
  <c r="AI246" i="27" s="1"/>
  <c r="AJ244" i="27"/>
  <c r="AJ243" i="27" s="1"/>
  <c r="K225" i="27"/>
  <c r="K222" i="27" s="1"/>
  <c r="K247" i="27" s="1"/>
  <c r="K246" i="27" s="1"/>
  <c r="AK244" i="27"/>
  <c r="AK243" i="27" s="1"/>
  <c r="AE225" i="27"/>
  <c r="AE222" i="27" s="1"/>
  <c r="AE247" i="27" s="1"/>
  <c r="AE246" i="27" s="1"/>
  <c r="BB235" i="27"/>
  <c r="R296" i="1"/>
  <c r="R321" i="1" s="1"/>
  <c r="R320" i="1" s="1"/>
  <c r="I299" i="1"/>
  <c r="I296" i="1" s="1"/>
  <c r="I321" i="1" s="1"/>
  <c r="I320" i="1" s="1"/>
  <c r="BD222" i="27"/>
  <c r="BD247" i="27" s="1"/>
  <c r="BD246" i="27" s="1"/>
  <c r="G222" i="27"/>
  <c r="G247" i="27" s="1"/>
  <c r="G246" i="27" s="1"/>
  <c r="AG225" i="27"/>
  <c r="AG222" i="27" s="1"/>
  <c r="AG247" i="27" s="1"/>
  <c r="AG246" i="27" s="1"/>
  <c r="N222" i="27"/>
  <c r="N247" i="27" s="1"/>
  <c r="N246" i="27" s="1"/>
  <c r="BN222" i="27"/>
  <c r="BN247" i="27" s="1"/>
  <c r="BN246" i="27" s="1"/>
  <c r="M244" i="27"/>
  <c r="M243" i="27" s="1"/>
  <c r="AP225" i="27"/>
  <c r="AP222" i="27" s="1"/>
  <c r="AP247" i="27" s="1"/>
  <c r="AP246" i="27" s="1"/>
  <c r="BH225" i="27"/>
  <c r="BH222" i="27" s="1"/>
  <c r="BH247" i="27" s="1"/>
  <c r="BH246" i="27" s="1"/>
  <c r="Q296" i="1"/>
  <c r="Q321" i="1" s="1"/>
  <c r="Q320" i="1" s="1"/>
  <c r="AC235" i="27"/>
  <c r="D235" i="27"/>
  <c r="O318" i="1"/>
  <c r="O317" i="1" s="1"/>
  <c r="O299" i="1"/>
  <c r="O296" i="1" s="1"/>
  <c r="O321" i="1" s="1"/>
  <c r="O320" i="1" s="1"/>
  <c r="H299" i="1"/>
  <c r="H296" i="1" s="1"/>
  <c r="H321" i="1" s="1"/>
  <c r="H320" i="1" s="1"/>
  <c r="E309" i="1"/>
  <c r="J318" i="1"/>
  <c r="J317" i="1" s="1"/>
  <c r="K296" i="1"/>
  <c r="K321" i="1" s="1"/>
  <c r="K320" i="1" s="1"/>
  <c r="M318" i="1"/>
  <c r="M317" i="1" s="1"/>
  <c r="M299" i="1"/>
  <c r="M296" i="1" s="1"/>
  <c r="M321" i="1" s="1"/>
  <c r="M320" i="1" s="1"/>
  <c r="R318" i="1"/>
  <c r="R317" i="1" s="1"/>
  <c r="Q318" i="1"/>
  <c r="Q317" i="1" s="1"/>
  <c r="G299" i="1"/>
  <c r="G296" i="1" s="1"/>
  <c r="G321" i="1" s="1"/>
  <c r="G320" i="1" s="1"/>
  <c r="K318" i="1"/>
  <c r="K317" i="1" s="1"/>
  <c r="P296" i="1"/>
  <c r="P321" i="1" s="1"/>
  <c r="P320" i="1" s="1"/>
  <c r="P318" i="1"/>
  <c r="P317" i="1" s="1"/>
  <c r="L299" i="1"/>
  <c r="L296" i="1" s="1"/>
  <c r="L321" i="1" s="1"/>
  <c r="L320" i="1" s="1"/>
  <c r="N299" i="1"/>
  <c r="N296" i="1" s="1"/>
  <c r="N321" i="1" s="1"/>
  <c r="N320" i="1" s="1"/>
  <c r="B140" i="27" l="1"/>
  <c r="AB85" i="27" s="1"/>
  <c r="AH81" i="27"/>
  <c r="AI81" i="27" s="1"/>
  <c r="AB81" i="27"/>
  <c r="AC81" i="27" s="1"/>
  <c r="Q145" i="20"/>
  <c r="AY145" i="20"/>
  <c r="AH145" i="20"/>
  <c r="BB243" i="27"/>
  <c r="D243" i="27"/>
  <c r="AC243" i="27"/>
  <c r="D246" i="27"/>
  <c r="BB246" i="27"/>
  <c r="AC246" i="27"/>
  <c r="E317" i="1"/>
  <c r="E320" i="1"/>
  <c r="M85" i="27"/>
  <c r="I39" i="24" s="1"/>
  <c r="B99" i="27"/>
  <c r="B98" i="27"/>
  <c r="B95" i="27"/>
  <c r="B94" i="27"/>
  <c r="W105" i="27"/>
  <c r="Y105" i="27" s="1"/>
  <c r="W106" i="27"/>
  <c r="Y106" i="27" s="1"/>
  <c r="W107" i="27"/>
  <c r="Y107" i="27" s="1"/>
  <c r="W108" i="27"/>
  <c r="Y108" i="27" s="1"/>
  <c r="W109" i="27"/>
  <c r="Y109" i="27" s="1"/>
  <c r="W110" i="27"/>
  <c r="Y110" i="27" s="1"/>
  <c r="W111" i="27"/>
  <c r="Y111" i="27" s="1"/>
  <c r="W112" i="27"/>
  <c r="Y112" i="27" s="1"/>
  <c r="W104" i="27"/>
  <c r="Y104" i="27" s="1"/>
  <c r="Q105" i="27"/>
  <c r="S105" i="27" s="1"/>
  <c r="Q106" i="27"/>
  <c r="S106" i="27" s="1"/>
  <c r="Q107" i="27"/>
  <c r="S107" i="27" s="1"/>
  <c r="Q108" i="27"/>
  <c r="S108" i="27" s="1"/>
  <c r="Q109" i="27"/>
  <c r="S109" i="27" s="1"/>
  <c r="Q110" i="27"/>
  <c r="S110" i="27" s="1"/>
  <c r="Q111" i="27"/>
  <c r="S111" i="27" s="1"/>
  <c r="Q112" i="27"/>
  <c r="S112" i="27" s="1"/>
  <c r="Q113" i="27"/>
  <c r="S113" i="27" s="1"/>
  <c r="Q104" i="27"/>
  <c r="S104" i="27" s="1"/>
  <c r="L105" i="27"/>
  <c r="N105" i="27" s="1"/>
  <c r="L106" i="27"/>
  <c r="N106" i="27" s="1"/>
  <c r="L107" i="27"/>
  <c r="N107" i="27" s="1"/>
  <c r="L108" i="27"/>
  <c r="N108" i="27" s="1"/>
  <c r="L109" i="27"/>
  <c r="N109" i="27" s="1"/>
  <c r="L110" i="27"/>
  <c r="N110" i="27" s="1"/>
  <c r="L111" i="27"/>
  <c r="N111" i="27" s="1"/>
  <c r="L112" i="27"/>
  <c r="N112" i="27" s="1"/>
  <c r="L104" i="27"/>
  <c r="N104" i="27" s="1"/>
  <c r="G113" i="27"/>
  <c r="I113" i="27" s="1"/>
  <c r="G105" i="27"/>
  <c r="I105" i="27" s="1"/>
  <c r="G106" i="27"/>
  <c r="I106" i="27" s="1"/>
  <c r="G107" i="27"/>
  <c r="I107" i="27" s="1"/>
  <c r="G108" i="27"/>
  <c r="I108" i="27" s="1"/>
  <c r="G109" i="27"/>
  <c r="I109" i="27" s="1"/>
  <c r="G110" i="27"/>
  <c r="I110" i="27" s="1"/>
  <c r="G111" i="27"/>
  <c r="I111" i="27" s="1"/>
  <c r="G112" i="27"/>
  <c r="I112" i="27" s="1"/>
  <c r="G104" i="27"/>
  <c r="I104" i="27" s="1"/>
  <c r="A112" i="27"/>
  <c r="C112" i="27" s="1"/>
  <c r="A105" i="27"/>
  <c r="C105" i="27" s="1"/>
  <c r="A106" i="27"/>
  <c r="C106" i="27" s="1"/>
  <c r="A107" i="27"/>
  <c r="C107" i="27" s="1"/>
  <c r="A108" i="27"/>
  <c r="C108" i="27" s="1"/>
  <c r="A109" i="27"/>
  <c r="C109" i="27" s="1"/>
  <c r="A110" i="27"/>
  <c r="C110" i="27" s="1"/>
  <c r="A111" i="27"/>
  <c r="C111" i="27" s="1"/>
  <c r="A104" i="27"/>
  <c r="C104" i="27" s="1"/>
  <c r="AG5" i="24"/>
  <c r="AF5" i="24"/>
  <c r="AF6" i="24"/>
  <c r="AF7" i="24"/>
  <c r="AF8" i="24"/>
  <c r="AF9" i="24"/>
  <c r="AF10" i="24"/>
  <c r="AF11" i="24"/>
  <c r="AF14" i="24"/>
  <c r="AF15" i="24"/>
  <c r="AF16" i="24"/>
  <c r="AF17" i="24"/>
  <c r="AF18" i="24"/>
  <c r="AF19" i="24"/>
  <c r="AF20" i="24"/>
  <c r="AF21" i="24"/>
  <c r="AF22" i="24"/>
  <c r="AF23" i="24"/>
  <c r="AF24" i="24"/>
  <c r="AF4" i="24"/>
  <c r="AD5" i="24"/>
  <c r="AC5" i="24"/>
  <c r="AC6" i="24"/>
  <c r="AC7" i="24"/>
  <c r="AC8" i="24"/>
  <c r="AC9" i="24"/>
  <c r="AC10" i="24"/>
  <c r="AC11" i="24"/>
  <c r="AC14" i="24"/>
  <c r="AC15" i="24"/>
  <c r="AC16" i="24"/>
  <c r="AC17" i="24"/>
  <c r="AC18" i="24"/>
  <c r="AC19" i="24"/>
  <c r="AC20" i="24"/>
  <c r="AC21" i="24"/>
  <c r="AC22" i="24"/>
  <c r="AC23" i="24"/>
  <c r="AC24" i="24"/>
  <c r="AC4" i="24"/>
  <c r="AA5" i="24"/>
  <c r="Z5" i="24"/>
  <c r="Z6" i="24"/>
  <c r="Z7" i="24"/>
  <c r="Z8" i="24"/>
  <c r="Z9" i="24"/>
  <c r="Z10" i="24"/>
  <c r="Z11" i="24"/>
  <c r="Z14" i="24"/>
  <c r="Z15" i="24"/>
  <c r="Z16" i="24"/>
  <c r="Z17" i="24"/>
  <c r="Z18" i="24"/>
  <c r="Z19" i="24"/>
  <c r="Z20" i="24"/>
  <c r="Z21" i="24"/>
  <c r="Z22" i="24"/>
  <c r="Z23" i="24"/>
  <c r="Z24" i="24"/>
  <c r="Z4" i="24"/>
  <c r="X5" i="24"/>
  <c r="W5" i="24"/>
  <c r="W6" i="24"/>
  <c r="W7" i="24"/>
  <c r="W8" i="24"/>
  <c r="W9" i="24"/>
  <c r="W10" i="24"/>
  <c r="W11" i="24"/>
  <c r="W14" i="24"/>
  <c r="W15" i="24"/>
  <c r="W16" i="24"/>
  <c r="W17" i="24"/>
  <c r="W18" i="24"/>
  <c r="W19" i="24"/>
  <c r="W20" i="24"/>
  <c r="W21" i="24"/>
  <c r="W22" i="24"/>
  <c r="W23" i="24"/>
  <c r="W24" i="24"/>
  <c r="W4" i="24"/>
  <c r="U5" i="24"/>
  <c r="T5" i="24"/>
  <c r="T6" i="24"/>
  <c r="T7" i="24"/>
  <c r="T8" i="24"/>
  <c r="T9" i="24"/>
  <c r="T10" i="24"/>
  <c r="T11" i="24"/>
  <c r="T14" i="24"/>
  <c r="T15" i="24"/>
  <c r="T16" i="24"/>
  <c r="T17" i="24"/>
  <c r="T18" i="24"/>
  <c r="T19" i="24"/>
  <c r="T20" i="24"/>
  <c r="T21" i="24"/>
  <c r="T22" i="24"/>
  <c r="T23" i="24"/>
  <c r="T24" i="24"/>
  <c r="R5" i="24"/>
  <c r="Q5" i="24"/>
  <c r="Q6" i="24"/>
  <c r="Q7" i="24"/>
  <c r="Q8" i="24"/>
  <c r="Q9" i="24"/>
  <c r="Q10" i="24"/>
  <c r="Q11" i="24"/>
  <c r="Q14" i="24"/>
  <c r="Q15" i="24"/>
  <c r="Q16" i="24"/>
  <c r="Q17" i="24"/>
  <c r="Q18" i="24"/>
  <c r="Q19" i="24"/>
  <c r="Q20" i="24"/>
  <c r="Q21" i="24"/>
  <c r="Q22" i="24"/>
  <c r="Q23" i="24"/>
  <c r="Q24" i="24"/>
  <c r="Q4" i="24"/>
  <c r="O5" i="24"/>
  <c r="N5" i="24"/>
  <c r="N6" i="24"/>
  <c r="N7" i="24"/>
  <c r="N8" i="24"/>
  <c r="N9" i="24"/>
  <c r="N10" i="24"/>
  <c r="N11" i="24"/>
  <c r="N14" i="24"/>
  <c r="N15" i="24"/>
  <c r="N16" i="24"/>
  <c r="N17" i="24"/>
  <c r="N18" i="24"/>
  <c r="N19" i="24"/>
  <c r="N20" i="24"/>
  <c r="N21" i="24"/>
  <c r="N22" i="24"/>
  <c r="N23" i="24"/>
  <c r="N24" i="24"/>
  <c r="N4" i="24"/>
  <c r="L5" i="24"/>
  <c r="K5" i="24"/>
  <c r="K6" i="24"/>
  <c r="K7" i="24"/>
  <c r="K8" i="24"/>
  <c r="K9" i="24"/>
  <c r="K10" i="24"/>
  <c r="K11" i="24"/>
  <c r="K14" i="24"/>
  <c r="K15" i="24"/>
  <c r="K16" i="24"/>
  <c r="K17" i="24"/>
  <c r="K18" i="24"/>
  <c r="K19" i="24"/>
  <c r="K20" i="24"/>
  <c r="K21" i="24"/>
  <c r="K22" i="24"/>
  <c r="K23" i="24"/>
  <c r="K24" i="24"/>
  <c r="K4" i="24"/>
  <c r="I5" i="24"/>
  <c r="H5" i="24"/>
  <c r="H6" i="24"/>
  <c r="H7" i="24"/>
  <c r="H8" i="24"/>
  <c r="H9" i="24"/>
  <c r="H10" i="24"/>
  <c r="H11" i="24"/>
  <c r="H14" i="24"/>
  <c r="H15" i="24"/>
  <c r="H16" i="24"/>
  <c r="H17" i="24"/>
  <c r="H18" i="24"/>
  <c r="H19" i="24"/>
  <c r="H20" i="24"/>
  <c r="H21" i="24"/>
  <c r="H22" i="24"/>
  <c r="H23" i="24"/>
  <c r="H24" i="24"/>
  <c r="H4" i="24"/>
  <c r="F5" i="24"/>
  <c r="E6" i="24"/>
  <c r="E7" i="24"/>
  <c r="E8" i="24"/>
  <c r="E9" i="24"/>
  <c r="E10" i="24"/>
  <c r="E11" i="24"/>
  <c r="E14" i="24"/>
  <c r="E15" i="24"/>
  <c r="E16" i="24"/>
  <c r="E17" i="24"/>
  <c r="E18" i="24"/>
  <c r="E19" i="24"/>
  <c r="E20" i="24"/>
  <c r="E21" i="24"/>
  <c r="E22" i="24"/>
  <c r="E23" i="24"/>
  <c r="E24" i="24"/>
  <c r="E5" i="24"/>
  <c r="B23" i="24"/>
  <c r="B24" i="24"/>
  <c r="B21" i="24"/>
  <c r="B22" i="24"/>
  <c r="B17" i="24"/>
  <c r="B18" i="24"/>
  <c r="B19" i="24"/>
  <c r="B20" i="24"/>
  <c r="B5" i="24"/>
  <c r="B6" i="24"/>
  <c r="B7" i="24"/>
  <c r="B8" i="24"/>
  <c r="B9" i="24"/>
  <c r="B10" i="24"/>
  <c r="B11" i="24"/>
  <c r="B14" i="24"/>
  <c r="B15" i="24"/>
  <c r="B16" i="24"/>
  <c r="B4" i="24"/>
  <c r="AB33" i="27"/>
  <c r="F47" i="7"/>
  <c r="AA33" i="27"/>
  <c r="Z33" i="27"/>
  <c r="Y33" i="27"/>
  <c r="X33" i="27"/>
  <c r="W33" i="27"/>
  <c r="V33" i="27"/>
  <c r="O33" i="27"/>
  <c r="N33" i="27"/>
  <c r="M33" i="27"/>
  <c r="L33" i="27"/>
  <c r="K33" i="27"/>
  <c r="J33" i="27"/>
  <c r="I33" i="27"/>
  <c r="H33" i="27"/>
  <c r="G33" i="27"/>
  <c r="F33" i="27"/>
  <c r="E33" i="27"/>
  <c r="D33" i="27"/>
  <c r="C33" i="27"/>
  <c r="B33" i="27"/>
  <c r="A33" i="27"/>
  <c r="C11" i="27"/>
  <c r="I35" i="27" s="1"/>
  <c r="S35" i="27" s="1"/>
  <c r="D11" i="27"/>
  <c r="I36" i="27" s="1"/>
  <c r="S36" i="27" s="1"/>
  <c r="E11" i="27"/>
  <c r="I37" i="27" s="1"/>
  <c r="S37" i="27" s="1"/>
  <c r="F11" i="27"/>
  <c r="I38" i="27" s="1"/>
  <c r="S38" i="27" s="1"/>
  <c r="G11" i="27"/>
  <c r="I39" i="27" s="1"/>
  <c r="S39" i="27" s="1"/>
  <c r="H11" i="27"/>
  <c r="I40" i="27" s="1"/>
  <c r="S40" i="27" s="1"/>
  <c r="I11" i="27"/>
  <c r="I41" i="27" s="1"/>
  <c r="S41" i="27" s="1"/>
  <c r="J11" i="27"/>
  <c r="I42" i="27" s="1"/>
  <c r="S42" i="27" s="1"/>
  <c r="K11" i="27"/>
  <c r="I43" i="27" s="1"/>
  <c r="S43" i="27" s="1"/>
  <c r="L11" i="27"/>
  <c r="I44" i="27" s="1"/>
  <c r="S44" i="27" s="1"/>
  <c r="M11" i="27"/>
  <c r="I45" i="27" s="1"/>
  <c r="S45" i="27" s="1"/>
  <c r="N11" i="27"/>
  <c r="I46" i="27" s="1"/>
  <c r="S46" i="27" s="1"/>
  <c r="O11" i="27"/>
  <c r="I47" i="27" s="1"/>
  <c r="S47" i="27" s="1"/>
  <c r="P11" i="27"/>
  <c r="I48" i="27" s="1"/>
  <c r="S48" i="27" s="1"/>
  <c r="Q11" i="27"/>
  <c r="I49" i="27" s="1"/>
  <c r="S49" i="27" s="1"/>
  <c r="R11" i="27"/>
  <c r="I50" i="27" s="1"/>
  <c r="S50" i="27" s="1"/>
  <c r="S11" i="27"/>
  <c r="I51" i="27" s="1"/>
  <c r="S51" i="27" s="1"/>
  <c r="T11" i="27"/>
  <c r="I52" i="27" s="1"/>
  <c r="S52" i="27" s="1"/>
  <c r="U11" i="27"/>
  <c r="I53" i="27" s="1"/>
  <c r="S53" i="27" s="1"/>
  <c r="I54" i="27"/>
  <c r="S54" i="27" s="1"/>
  <c r="X11" i="27"/>
  <c r="I56" i="27" s="1"/>
  <c r="S56" i="27" s="1"/>
  <c r="Y11" i="27"/>
  <c r="I57" i="27" s="1"/>
  <c r="S57" i="27" s="1"/>
  <c r="Z11" i="27"/>
  <c r="I58" i="27" s="1"/>
  <c r="S58" i="27" s="1"/>
  <c r="AA11" i="27"/>
  <c r="I59" i="27" s="1"/>
  <c r="S59" i="27" s="1"/>
  <c r="AB11" i="27"/>
  <c r="I60" i="27" s="1"/>
  <c r="S60" i="27" s="1"/>
  <c r="AC11" i="27"/>
  <c r="I61" i="27" s="1"/>
  <c r="S61" i="27" s="1"/>
  <c r="AD11" i="27"/>
  <c r="I62" i="27" s="1"/>
  <c r="S62" i="27" s="1"/>
  <c r="AE11" i="27"/>
  <c r="I63" i="27" s="1"/>
  <c r="S63" i="27" s="1"/>
  <c r="AF11" i="27"/>
  <c r="I64" i="27" s="1"/>
  <c r="S64" i="27" s="1"/>
  <c r="AG11" i="27"/>
  <c r="I65" i="27" s="1"/>
  <c r="S65" i="27" s="1"/>
  <c r="AH11" i="27"/>
  <c r="I66" i="27" s="1"/>
  <c r="S66" i="27" s="1"/>
  <c r="AI11" i="27"/>
  <c r="I67" i="27" s="1"/>
  <c r="S67" i="27" s="1"/>
  <c r="AJ11" i="27"/>
  <c r="I68" i="27" s="1"/>
  <c r="S68" i="27" s="1"/>
  <c r="AK11" i="27"/>
  <c r="I69" i="27" s="1"/>
  <c r="S69" i="27" s="1"/>
  <c r="AL11" i="27"/>
  <c r="I70" i="27" s="1"/>
  <c r="S70" i="27" s="1"/>
  <c r="AM11" i="27"/>
  <c r="I71" i="27" s="1"/>
  <c r="S71" i="27" s="1"/>
  <c r="AN11" i="27"/>
  <c r="I72" i="27" s="1"/>
  <c r="S72" i="27" s="1"/>
  <c r="AQ11" i="27"/>
  <c r="AR11" i="27"/>
  <c r="AS11" i="27"/>
  <c r="B11" i="27"/>
  <c r="I34" i="27" s="1"/>
  <c r="S34" i="27" s="1"/>
  <c r="C10" i="27"/>
  <c r="H35" i="27" s="1"/>
  <c r="R35" i="27" s="1"/>
  <c r="D10" i="27"/>
  <c r="H36" i="27" s="1"/>
  <c r="R36" i="27" s="1"/>
  <c r="E10" i="27"/>
  <c r="H37" i="27" s="1"/>
  <c r="R37" i="27" s="1"/>
  <c r="F10" i="27"/>
  <c r="H38" i="27" s="1"/>
  <c r="R38" i="27" s="1"/>
  <c r="G10" i="27"/>
  <c r="H39" i="27" s="1"/>
  <c r="R39" i="27" s="1"/>
  <c r="H10" i="27"/>
  <c r="H40" i="27" s="1"/>
  <c r="R40" i="27" s="1"/>
  <c r="I10" i="27"/>
  <c r="H41" i="27" s="1"/>
  <c r="R41" i="27" s="1"/>
  <c r="J10" i="27"/>
  <c r="H42" i="27" s="1"/>
  <c r="R42" i="27" s="1"/>
  <c r="K10" i="27"/>
  <c r="H43" i="27" s="1"/>
  <c r="R43" i="27" s="1"/>
  <c r="L10" i="27"/>
  <c r="H44" i="27" s="1"/>
  <c r="R44" i="27" s="1"/>
  <c r="M10" i="27"/>
  <c r="H45" i="27" s="1"/>
  <c r="R45" i="27" s="1"/>
  <c r="N10" i="27"/>
  <c r="H46" i="27" s="1"/>
  <c r="R46" i="27" s="1"/>
  <c r="O10" i="27"/>
  <c r="H47" i="27" s="1"/>
  <c r="R47" i="27" s="1"/>
  <c r="P10" i="27"/>
  <c r="H48" i="27" s="1"/>
  <c r="R48" i="27" s="1"/>
  <c r="Q10" i="27"/>
  <c r="H49" i="27" s="1"/>
  <c r="R49" i="27" s="1"/>
  <c r="R10" i="27"/>
  <c r="H50" i="27" s="1"/>
  <c r="R50" i="27" s="1"/>
  <c r="S10" i="27"/>
  <c r="H51" i="27" s="1"/>
  <c r="R51" i="27" s="1"/>
  <c r="T10" i="27"/>
  <c r="H52" i="27" s="1"/>
  <c r="R52" i="27" s="1"/>
  <c r="U10" i="27"/>
  <c r="H53" i="27" s="1"/>
  <c r="R53" i="27" s="1"/>
  <c r="H54" i="27"/>
  <c r="R54" i="27" s="1"/>
  <c r="X10" i="27"/>
  <c r="H56" i="27" s="1"/>
  <c r="R56" i="27" s="1"/>
  <c r="Y10" i="27"/>
  <c r="H57" i="27" s="1"/>
  <c r="R57" i="27" s="1"/>
  <c r="Z10" i="27"/>
  <c r="H58" i="27" s="1"/>
  <c r="R58" i="27" s="1"/>
  <c r="AA10" i="27"/>
  <c r="H59" i="27" s="1"/>
  <c r="R59" i="27" s="1"/>
  <c r="AB10" i="27"/>
  <c r="H60" i="27" s="1"/>
  <c r="R60" i="27" s="1"/>
  <c r="AC10" i="27"/>
  <c r="H61" i="27" s="1"/>
  <c r="R61" i="27" s="1"/>
  <c r="AD10" i="27"/>
  <c r="H62" i="27" s="1"/>
  <c r="R62" i="27" s="1"/>
  <c r="AE10" i="27"/>
  <c r="H63" i="27" s="1"/>
  <c r="R63" i="27" s="1"/>
  <c r="AF10" i="27"/>
  <c r="H64" i="27" s="1"/>
  <c r="R64" i="27" s="1"/>
  <c r="AG10" i="27"/>
  <c r="H65" i="27" s="1"/>
  <c r="R65" i="27" s="1"/>
  <c r="AH10" i="27"/>
  <c r="H66" i="27" s="1"/>
  <c r="R66" i="27" s="1"/>
  <c r="AI10" i="27"/>
  <c r="H67" i="27" s="1"/>
  <c r="R67" i="27" s="1"/>
  <c r="AJ10" i="27"/>
  <c r="H68" i="27" s="1"/>
  <c r="R68" i="27" s="1"/>
  <c r="AK10" i="27"/>
  <c r="H69" i="27" s="1"/>
  <c r="R69" i="27" s="1"/>
  <c r="AL10" i="27"/>
  <c r="H70" i="27" s="1"/>
  <c r="R70" i="27" s="1"/>
  <c r="AM10" i="27"/>
  <c r="H71" i="27" s="1"/>
  <c r="R71" i="27" s="1"/>
  <c r="AN10" i="27"/>
  <c r="H72" i="27" s="1"/>
  <c r="R72" i="27" s="1"/>
  <c r="AQ10" i="27"/>
  <c r="AR10" i="27"/>
  <c r="AS10" i="27"/>
  <c r="B10" i="27"/>
  <c r="H34" i="27" s="1"/>
  <c r="R34" i="27" s="1"/>
  <c r="C9" i="27"/>
  <c r="G35" i="27" s="1"/>
  <c r="Q35" i="27" s="1"/>
  <c r="D9" i="27"/>
  <c r="G36" i="27" s="1"/>
  <c r="Q36" i="27" s="1"/>
  <c r="E9" i="27"/>
  <c r="G37" i="27" s="1"/>
  <c r="Q37" i="27" s="1"/>
  <c r="F9" i="27"/>
  <c r="G38" i="27" s="1"/>
  <c r="Q38" i="27" s="1"/>
  <c r="G9" i="27"/>
  <c r="G39" i="27" s="1"/>
  <c r="Q39" i="27" s="1"/>
  <c r="H9" i="27"/>
  <c r="G40" i="27" s="1"/>
  <c r="Q40" i="27" s="1"/>
  <c r="I9" i="27"/>
  <c r="G41" i="27" s="1"/>
  <c r="Q41" i="27" s="1"/>
  <c r="J9" i="27"/>
  <c r="G42" i="27" s="1"/>
  <c r="Q42" i="27" s="1"/>
  <c r="K9" i="27"/>
  <c r="G43" i="27" s="1"/>
  <c r="Q43" i="27" s="1"/>
  <c r="L9" i="27"/>
  <c r="G44" i="27" s="1"/>
  <c r="Q44" i="27" s="1"/>
  <c r="M9" i="27"/>
  <c r="G45" i="27" s="1"/>
  <c r="Q45" i="27" s="1"/>
  <c r="N9" i="27"/>
  <c r="G46" i="27" s="1"/>
  <c r="Q46" i="27" s="1"/>
  <c r="O9" i="27"/>
  <c r="G47" i="27" s="1"/>
  <c r="Q47" i="27" s="1"/>
  <c r="P9" i="27"/>
  <c r="G48" i="27" s="1"/>
  <c r="Q48" i="27" s="1"/>
  <c r="Q9" i="27"/>
  <c r="G49" i="27" s="1"/>
  <c r="Q49" i="27" s="1"/>
  <c r="R9" i="27"/>
  <c r="G50" i="27" s="1"/>
  <c r="Q50" i="27" s="1"/>
  <c r="S9" i="27"/>
  <c r="G51" i="27" s="1"/>
  <c r="Q51" i="27" s="1"/>
  <c r="T9" i="27"/>
  <c r="G52" i="27" s="1"/>
  <c r="Q52" i="27" s="1"/>
  <c r="U9" i="27"/>
  <c r="G53" i="27" s="1"/>
  <c r="Q53" i="27" s="1"/>
  <c r="G54" i="27"/>
  <c r="Q54" i="27" s="1"/>
  <c r="X9" i="27"/>
  <c r="G56" i="27" s="1"/>
  <c r="Q56" i="27" s="1"/>
  <c r="Y9" i="27"/>
  <c r="G57" i="27" s="1"/>
  <c r="Q57" i="27" s="1"/>
  <c r="Z9" i="27"/>
  <c r="G58" i="27" s="1"/>
  <c r="Q58" i="27" s="1"/>
  <c r="AA9" i="27"/>
  <c r="G59" i="27" s="1"/>
  <c r="Q59" i="27" s="1"/>
  <c r="AB9" i="27"/>
  <c r="G60" i="27" s="1"/>
  <c r="Q60" i="27" s="1"/>
  <c r="AC9" i="27"/>
  <c r="G61" i="27" s="1"/>
  <c r="Q61" i="27" s="1"/>
  <c r="AD9" i="27"/>
  <c r="G62" i="27" s="1"/>
  <c r="Q62" i="27" s="1"/>
  <c r="AE9" i="27"/>
  <c r="G63" i="27" s="1"/>
  <c r="Q63" i="27" s="1"/>
  <c r="AF9" i="27"/>
  <c r="G64" i="27" s="1"/>
  <c r="Q64" i="27" s="1"/>
  <c r="AG9" i="27"/>
  <c r="G65" i="27" s="1"/>
  <c r="Q65" i="27" s="1"/>
  <c r="AH9" i="27"/>
  <c r="G66" i="27" s="1"/>
  <c r="Q66" i="27" s="1"/>
  <c r="AI9" i="27"/>
  <c r="G67" i="27" s="1"/>
  <c r="Q67" i="27" s="1"/>
  <c r="AJ9" i="27"/>
  <c r="G68" i="27" s="1"/>
  <c r="Q68" i="27" s="1"/>
  <c r="AK9" i="27"/>
  <c r="G69" i="27" s="1"/>
  <c r="Q69" i="27" s="1"/>
  <c r="AL9" i="27"/>
  <c r="G70" i="27" s="1"/>
  <c r="Q70" i="27" s="1"/>
  <c r="AM9" i="27"/>
  <c r="G71" i="27" s="1"/>
  <c r="Q71" i="27" s="1"/>
  <c r="AN9" i="27"/>
  <c r="G72" i="27" s="1"/>
  <c r="Q72" i="27" s="1"/>
  <c r="AQ9" i="27"/>
  <c r="AR9" i="27"/>
  <c r="AS9" i="27"/>
  <c r="B9" i="27"/>
  <c r="G34" i="27" s="1"/>
  <c r="Q34" i="27" s="1"/>
  <c r="C8" i="27"/>
  <c r="F35" i="27" s="1"/>
  <c r="D8" i="27"/>
  <c r="F36" i="27" s="1"/>
  <c r="E8" i="27"/>
  <c r="F37" i="27" s="1"/>
  <c r="F8" i="27"/>
  <c r="F38" i="27" s="1"/>
  <c r="G8" i="27"/>
  <c r="F39" i="27" s="1"/>
  <c r="H8" i="27"/>
  <c r="F40" i="27" s="1"/>
  <c r="I8" i="27"/>
  <c r="F41" i="27" s="1"/>
  <c r="J8" i="27"/>
  <c r="F42" i="27" s="1"/>
  <c r="K8" i="27"/>
  <c r="F43" i="27" s="1"/>
  <c r="L8" i="27"/>
  <c r="F44" i="27" s="1"/>
  <c r="M8" i="27"/>
  <c r="F45" i="27" s="1"/>
  <c r="N8" i="27"/>
  <c r="F46" i="27" s="1"/>
  <c r="O8" i="27"/>
  <c r="F47" i="27" s="1"/>
  <c r="P8" i="27"/>
  <c r="F48" i="27" s="1"/>
  <c r="Q8" i="27"/>
  <c r="F49" i="27" s="1"/>
  <c r="R8" i="27"/>
  <c r="F50" i="27" s="1"/>
  <c r="S8" i="27"/>
  <c r="F51" i="27" s="1"/>
  <c r="T8" i="27"/>
  <c r="F52" i="27" s="1"/>
  <c r="U8" i="27"/>
  <c r="F53" i="27" s="1"/>
  <c r="F54" i="27"/>
  <c r="X8" i="27"/>
  <c r="F56" i="27" s="1"/>
  <c r="Y8" i="27"/>
  <c r="F57" i="27" s="1"/>
  <c r="Z8" i="27"/>
  <c r="F58" i="27" s="1"/>
  <c r="AA8" i="27"/>
  <c r="F59" i="27" s="1"/>
  <c r="AB8" i="27"/>
  <c r="F60" i="27" s="1"/>
  <c r="AC8" i="27"/>
  <c r="F61" i="27" s="1"/>
  <c r="AD8" i="27"/>
  <c r="F62" i="27" s="1"/>
  <c r="AE8" i="27"/>
  <c r="F63" i="27" s="1"/>
  <c r="AF8" i="27"/>
  <c r="F64" i="27" s="1"/>
  <c r="AG8" i="27"/>
  <c r="F65" i="27" s="1"/>
  <c r="AH8" i="27"/>
  <c r="F66" i="27" s="1"/>
  <c r="AI8" i="27"/>
  <c r="F67" i="27" s="1"/>
  <c r="AJ8" i="27"/>
  <c r="F68" i="27" s="1"/>
  <c r="AK8" i="27"/>
  <c r="F69" i="27" s="1"/>
  <c r="AL8" i="27"/>
  <c r="F70" i="27" s="1"/>
  <c r="AM8" i="27"/>
  <c r="F71" i="27" s="1"/>
  <c r="AN8" i="27"/>
  <c r="F72" i="27" s="1"/>
  <c r="AQ8" i="27"/>
  <c r="AR8" i="27"/>
  <c r="AS8" i="27"/>
  <c r="B8" i="27"/>
  <c r="F34" i="27" s="1"/>
  <c r="C7" i="27"/>
  <c r="E35" i="27" s="1"/>
  <c r="D7" i="27"/>
  <c r="E36" i="27" s="1"/>
  <c r="E7" i="27"/>
  <c r="E37" i="27" s="1"/>
  <c r="F7" i="27"/>
  <c r="E38" i="27" s="1"/>
  <c r="G7" i="27"/>
  <c r="E39" i="27" s="1"/>
  <c r="H7" i="27"/>
  <c r="E40" i="27" s="1"/>
  <c r="I7" i="27"/>
  <c r="E41" i="27" s="1"/>
  <c r="J7" i="27"/>
  <c r="E42" i="27" s="1"/>
  <c r="K7" i="27"/>
  <c r="E43" i="27" s="1"/>
  <c r="L7" i="27"/>
  <c r="E44" i="27" s="1"/>
  <c r="M7" i="27"/>
  <c r="E45" i="27" s="1"/>
  <c r="N7" i="27"/>
  <c r="E46" i="27" s="1"/>
  <c r="O7" i="27"/>
  <c r="E47" i="27" s="1"/>
  <c r="P7" i="27"/>
  <c r="E48" i="27" s="1"/>
  <c r="Q7" i="27"/>
  <c r="E49" i="27" s="1"/>
  <c r="R7" i="27"/>
  <c r="E50" i="27" s="1"/>
  <c r="S7" i="27"/>
  <c r="E51" i="27" s="1"/>
  <c r="T7" i="27"/>
  <c r="E52" i="27" s="1"/>
  <c r="U7" i="27"/>
  <c r="E53" i="27" s="1"/>
  <c r="E54" i="27"/>
  <c r="X7" i="27"/>
  <c r="E56" i="27" s="1"/>
  <c r="Y7" i="27"/>
  <c r="E57" i="27" s="1"/>
  <c r="Z7" i="27"/>
  <c r="E58" i="27" s="1"/>
  <c r="AA7" i="27"/>
  <c r="E59" i="27" s="1"/>
  <c r="AB7" i="27"/>
  <c r="E60" i="27" s="1"/>
  <c r="AC7" i="27"/>
  <c r="E61" i="27" s="1"/>
  <c r="AD7" i="27"/>
  <c r="E62" i="27" s="1"/>
  <c r="AE7" i="27"/>
  <c r="E63" i="27" s="1"/>
  <c r="AF7" i="27"/>
  <c r="E64" i="27" s="1"/>
  <c r="AG7" i="27"/>
  <c r="E65" i="27" s="1"/>
  <c r="AH7" i="27"/>
  <c r="E66" i="27" s="1"/>
  <c r="AI7" i="27"/>
  <c r="E67" i="27" s="1"/>
  <c r="AJ7" i="27"/>
  <c r="E68" i="27" s="1"/>
  <c r="AK7" i="27"/>
  <c r="E69" i="27" s="1"/>
  <c r="AL7" i="27"/>
  <c r="E70" i="27" s="1"/>
  <c r="AM7" i="27"/>
  <c r="E71" i="27" s="1"/>
  <c r="AN7" i="27"/>
  <c r="E72" i="27" s="1"/>
  <c r="AQ7" i="27"/>
  <c r="AR7" i="27"/>
  <c r="AS7" i="27"/>
  <c r="B7" i="27"/>
  <c r="E34" i="27" s="1"/>
  <c r="C5" i="27"/>
  <c r="C35" i="27" s="1"/>
  <c r="D5" i="27"/>
  <c r="C36" i="27" s="1"/>
  <c r="E5" i="27"/>
  <c r="C37" i="27" s="1"/>
  <c r="F5" i="27"/>
  <c r="C38" i="27" s="1"/>
  <c r="G5" i="27"/>
  <c r="C39" i="27" s="1"/>
  <c r="H5" i="27"/>
  <c r="C40" i="27" s="1"/>
  <c r="I5" i="27"/>
  <c r="C41" i="27" s="1"/>
  <c r="J5" i="27"/>
  <c r="C42" i="27" s="1"/>
  <c r="K5" i="27"/>
  <c r="C43" i="27" s="1"/>
  <c r="L5" i="27"/>
  <c r="C44" i="27" s="1"/>
  <c r="M5" i="27"/>
  <c r="C45" i="27" s="1"/>
  <c r="N5" i="27"/>
  <c r="C46" i="27" s="1"/>
  <c r="O5" i="27"/>
  <c r="C47" i="27" s="1"/>
  <c r="P5" i="27"/>
  <c r="C48" i="27" s="1"/>
  <c r="Q5" i="27"/>
  <c r="C49" i="27" s="1"/>
  <c r="R5" i="27"/>
  <c r="C50" i="27" s="1"/>
  <c r="S5" i="27"/>
  <c r="C51" i="27" s="1"/>
  <c r="T5" i="27"/>
  <c r="C52" i="27" s="1"/>
  <c r="U5" i="27"/>
  <c r="C53" i="27" s="1"/>
  <c r="C54" i="27"/>
  <c r="X5" i="27"/>
  <c r="C56" i="27" s="1"/>
  <c r="Y5" i="27"/>
  <c r="C57" i="27" s="1"/>
  <c r="Z5" i="27"/>
  <c r="C58" i="27" s="1"/>
  <c r="AA5" i="27"/>
  <c r="C59" i="27" s="1"/>
  <c r="AB5" i="27"/>
  <c r="C60" i="27" s="1"/>
  <c r="AC5" i="27"/>
  <c r="C61" i="27" s="1"/>
  <c r="AD5" i="27"/>
  <c r="C62" i="27" s="1"/>
  <c r="AE5" i="27"/>
  <c r="C63" i="27" s="1"/>
  <c r="AF5" i="27"/>
  <c r="C64" i="27" s="1"/>
  <c r="AG5" i="27"/>
  <c r="C65" i="27" s="1"/>
  <c r="AH5" i="27"/>
  <c r="C66" i="27" s="1"/>
  <c r="AI5" i="27"/>
  <c r="C67" i="27" s="1"/>
  <c r="AJ5" i="27"/>
  <c r="C68" i="27" s="1"/>
  <c r="AK5" i="27"/>
  <c r="C69" i="27" s="1"/>
  <c r="AL5" i="27"/>
  <c r="C70" i="27" s="1"/>
  <c r="AM5" i="27"/>
  <c r="C71" i="27" s="1"/>
  <c r="AN5" i="27"/>
  <c r="C72" i="27" s="1"/>
  <c r="AQ5" i="27"/>
  <c r="AR5" i="27"/>
  <c r="AS5" i="27"/>
  <c r="B5" i="27"/>
  <c r="C34" i="27" s="1"/>
  <c r="BI38" i="1"/>
  <c r="BI39" i="1"/>
  <c r="BI40" i="1"/>
  <c r="BI41" i="1"/>
  <c r="BI42" i="1"/>
  <c r="BI43" i="1"/>
  <c r="BI44" i="1"/>
  <c r="BI45" i="1"/>
  <c r="BI46" i="1"/>
  <c r="BI37" i="1"/>
  <c r="CE66" i="1"/>
  <c r="F122" i="14"/>
  <c r="F104" i="14"/>
  <c r="CE65" i="1"/>
  <c r="F130" i="14"/>
  <c r="CF64" i="1"/>
  <c r="CF65" i="1"/>
  <c r="CF66" i="1"/>
  <c r="CE64" i="1"/>
  <c r="F126" i="14"/>
  <c r="CE63" i="1"/>
  <c r="CE62" i="1"/>
  <c r="F108" i="14"/>
  <c r="BH28" i="1"/>
  <c r="BH29" i="1"/>
  <c r="BH30" i="1"/>
  <c r="BH31" i="1"/>
  <c r="BH32" i="1"/>
  <c r="BH33" i="1"/>
  <c r="BH34" i="1"/>
  <c r="BH35" i="1"/>
  <c r="CF61" i="1"/>
  <c r="CF62" i="1"/>
  <c r="CF63" i="1"/>
  <c r="CF60" i="1"/>
  <c r="CE61" i="1"/>
  <c r="F118" i="14"/>
  <c r="F117" i="14"/>
  <c r="H117" i="14" s="1"/>
  <c r="G89" i="27" s="1"/>
  <c r="F112" i="14"/>
  <c r="H112" i="14"/>
  <c r="B89" i="27" s="1"/>
  <c r="CE60" i="1"/>
  <c r="F113" i="14" s="1"/>
  <c r="C89" i="27" l="1"/>
  <c r="C84" i="27"/>
  <c r="CG61" i="1"/>
  <c r="H118" i="14" s="1"/>
  <c r="G90" i="27" s="1"/>
  <c r="H90" i="27" s="1"/>
  <c r="O44" i="24" s="1"/>
  <c r="AH80" i="27"/>
  <c r="AI80" i="27" s="1"/>
  <c r="AB80" i="27"/>
  <c r="AC80" i="27" s="1"/>
  <c r="AH82" i="27"/>
  <c r="AI82" i="27" s="1"/>
  <c r="AB82" i="27"/>
  <c r="AC82" i="27" s="1"/>
  <c r="AC85" i="27"/>
  <c r="C39" i="24" s="1"/>
  <c r="AH85" i="27"/>
  <c r="CG64" i="1"/>
  <c r="H130" i="14" s="1"/>
  <c r="H89" i="27"/>
  <c r="O43" i="24" s="1"/>
  <c r="D109" i="27"/>
  <c r="O106" i="27"/>
  <c r="J112" i="27"/>
  <c r="J108" i="27"/>
  <c r="O109" i="27"/>
  <c r="O105" i="27"/>
  <c r="T112" i="27"/>
  <c r="T110" i="27"/>
  <c r="Z109" i="27"/>
  <c r="Z107" i="27"/>
  <c r="Z105" i="27"/>
  <c r="J113" i="27"/>
  <c r="J111" i="27"/>
  <c r="J106" i="27"/>
  <c r="Z106" i="27"/>
  <c r="J110" i="27"/>
  <c r="O112" i="27"/>
  <c r="O110" i="27"/>
  <c r="O108" i="27"/>
  <c r="T113" i="27"/>
  <c r="T109" i="27"/>
  <c r="T105" i="27"/>
  <c r="Z110" i="27"/>
  <c r="J107" i="27"/>
  <c r="D111" i="27"/>
  <c r="T108" i="27"/>
  <c r="T106" i="27"/>
  <c r="Z112" i="27"/>
  <c r="Z108" i="27"/>
  <c r="D110" i="27"/>
  <c r="J109" i="27"/>
  <c r="Z104" i="27"/>
  <c r="O107" i="27"/>
  <c r="Z111" i="27"/>
  <c r="T111" i="27"/>
  <c r="T107" i="27"/>
  <c r="O111" i="27"/>
  <c r="D108" i="27"/>
  <c r="D112" i="27"/>
  <c r="CG63" i="1"/>
  <c r="H126" i="14" s="1"/>
  <c r="CG66" i="1"/>
  <c r="H122" i="14" s="1"/>
  <c r="CG62" i="1"/>
  <c r="H108" i="14" s="1"/>
  <c r="CG65" i="1"/>
  <c r="H104" i="14" s="1"/>
  <c r="F44" i="24" s="1"/>
  <c r="D107" i="27"/>
  <c r="D106" i="27"/>
  <c r="L90" i="27" l="1"/>
  <c r="M90" i="27" s="1"/>
  <c r="I44" i="24" s="1"/>
  <c r="V88" i="27"/>
  <c r="W88" i="27" s="1"/>
  <c r="X42" i="24" s="1"/>
  <c r="Q88" i="27"/>
  <c r="R88" i="27" s="1"/>
  <c r="U42" i="24" s="1"/>
  <c r="AI85" i="27"/>
  <c r="F39" i="24" s="1"/>
  <c r="L43" i="24"/>
  <c r="L38" i="24"/>
  <c r="Z115" i="27"/>
  <c r="V87" i="27" s="1"/>
  <c r="W87" i="27" s="1"/>
  <c r="X41" i="24" s="1"/>
  <c r="AN89" i="27"/>
  <c r="R43" i="24" s="1"/>
  <c r="C44" i="24"/>
  <c r="BA15" i="1"/>
  <c r="BA16" i="1"/>
  <c r="BA14" i="1"/>
  <c r="F20" i="1"/>
  <c r="C4" i="27" s="1"/>
  <c r="O127" i="27" s="1"/>
  <c r="G20" i="1"/>
  <c r="D4" i="27" s="1"/>
  <c r="O128" i="27" s="1"/>
  <c r="H20" i="1"/>
  <c r="E4" i="27" s="1"/>
  <c r="O129" i="27" s="1"/>
  <c r="I20" i="1"/>
  <c r="F4" i="27" s="1"/>
  <c r="O130" i="27" s="1"/>
  <c r="J20" i="1"/>
  <c r="G4" i="27" s="1"/>
  <c r="O131" i="27" s="1"/>
  <c r="K20" i="1"/>
  <c r="H4" i="27" s="1"/>
  <c r="O132" i="27" s="1"/>
  <c r="L20" i="1"/>
  <c r="I4" i="27" s="1"/>
  <c r="O133" i="27" s="1"/>
  <c r="M20" i="1"/>
  <c r="J4" i="27" s="1"/>
  <c r="O134" i="27" s="1"/>
  <c r="N20" i="1"/>
  <c r="K4" i="27" s="1"/>
  <c r="O135" i="27" s="1"/>
  <c r="O20" i="1"/>
  <c r="L4" i="27" s="1"/>
  <c r="O136" i="27" s="1"/>
  <c r="P20" i="1"/>
  <c r="M4" i="27" s="1"/>
  <c r="O137" i="27" s="1"/>
  <c r="Q20" i="1"/>
  <c r="N4" i="27" s="1"/>
  <c r="O138" i="27" s="1"/>
  <c r="R20" i="1"/>
  <c r="O4" i="27" s="1"/>
  <c r="O139" i="27" s="1"/>
  <c r="S20" i="1"/>
  <c r="P4" i="27" s="1"/>
  <c r="O140" i="27" s="1"/>
  <c r="T20" i="1"/>
  <c r="Q4" i="27" s="1"/>
  <c r="O141" i="27" s="1"/>
  <c r="U20" i="1"/>
  <c r="R4" i="27" s="1"/>
  <c r="O142" i="27" s="1"/>
  <c r="V20" i="1"/>
  <c r="S4" i="27" s="1"/>
  <c r="O143" i="27" s="1"/>
  <c r="W20" i="1"/>
  <c r="T4" i="27" s="1"/>
  <c r="O144" i="27" s="1"/>
  <c r="X20" i="1"/>
  <c r="U4" i="27" s="1"/>
  <c r="O145" i="27" s="1"/>
  <c r="Y20" i="1"/>
  <c r="Z20" i="1"/>
  <c r="AA20" i="1"/>
  <c r="AB20" i="1"/>
  <c r="AC20" i="1"/>
  <c r="AD20" i="1"/>
  <c r="AE20" i="1"/>
  <c r="AF20" i="1"/>
  <c r="AG20" i="1"/>
  <c r="AH20" i="1"/>
  <c r="AI20" i="1"/>
  <c r="AJ20" i="1"/>
  <c r="AK20" i="1"/>
  <c r="AL20" i="1"/>
  <c r="AM20" i="1"/>
  <c r="AN20" i="1"/>
  <c r="AO20" i="1"/>
  <c r="AP20" i="1"/>
  <c r="AQ20" i="1"/>
  <c r="AR20" i="1"/>
  <c r="E20" i="1"/>
  <c r="B4" i="27" s="1"/>
  <c r="Y32" i="1"/>
  <c r="Z32" i="1"/>
  <c r="AA32" i="1"/>
  <c r="AB32" i="1"/>
  <c r="AC32" i="1"/>
  <c r="AD32" i="1"/>
  <c r="AE32" i="1"/>
  <c r="AF32" i="1"/>
  <c r="AG32" i="1"/>
  <c r="AH32" i="1"/>
  <c r="AI32" i="1"/>
  <c r="AJ32" i="1"/>
  <c r="AK32" i="1"/>
  <c r="AL32" i="1"/>
  <c r="AM32" i="1"/>
  <c r="AN32" i="1"/>
  <c r="AO32" i="1"/>
  <c r="Y30" i="1"/>
  <c r="X4" i="27" s="1"/>
  <c r="B56" i="27" s="1"/>
  <c r="Z30" i="1"/>
  <c r="Y4" i="27" s="1"/>
  <c r="B57" i="27" s="1"/>
  <c r="AA30" i="1"/>
  <c r="Z4" i="27" s="1"/>
  <c r="B58" i="27" s="1"/>
  <c r="AB30" i="1"/>
  <c r="AA4" i="27" s="1"/>
  <c r="B59" i="27" s="1"/>
  <c r="AC30" i="1"/>
  <c r="AB4" i="27" s="1"/>
  <c r="B60" i="27" s="1"/>
  <c r="AD30" i="1"/>
  <c r="AC4" i="27" s="1"/>
  <c r="B61" i="27" s="1"/>
  <c r="AE30" i="1"/>
  <c r="AD4" i="27" s="1"/>
  <c r="B62" i="27" s="1"/>
  <c r="AF30" i="1"/>
  <c r="AE4" i="27" s="1"/>
  <c r="B63" i="27" s="1"/>
  <c r="AG30" i="1"/>
  <c r="AF4" i="27" s="1"/>
  <c r="B64" i="27" s="1"/>
  <c r="AH30" i="1"/>
  <c r="AG4" i="27" s="1"/>
  <c r="B65" i="27" s="1"/>
  <c r="AI30" i="1"/>
  <c r="AH4" i="27" s="1"/>
  <c r="B66" i="27" s="1"/>
  <c r="AJ30" i="1"/>
  <c r="AI4" i="27" s="1"/>
  <c r="B67" i="27" s="1"/>
  <c r="AK30" i="1"/>
  <c r="AJ4" i="27" s="1"/>
  <c r="B68" i="27" s="1"/>
  <c r="AL30" i="1"/>
  <c r="AK4" i="27" s="1"/>
  <c r="B69" i="27" s="1"/>
  <c r="AM30" i="1"/>
  <c r="AL4" i="27" s="1"/>
  <c r="B70" i="27" s="1"/>
  <c r="AN30" i="1"/>
  <c r="AM4" i="27" s="1"/>
  <c r="B71" i="27" s="1"/>
  <c r="AO30" i="1"/>
  <c r="AN4" i="27" s="1"/>
  <c r="B72" i="27" s="1"/>
  <c r="G12" i="1"/>
  <c r="F18" i="1"/>
  <c r="G18" i="1"/>
  <c r="H18" i="1"/>
  <c r="I18" i="1"/>
  <c r="J18" i="1"/>
  <c r="K18" i="1"/>
  <c r="L18" i="1"/>
  <c r="M18" i="1"/>
  <c r="N18" i="1"/>
  <c r="O18" i="1"/>
  <c r="P18" i="1"/>
  <c r="Q18" i="1"/>
  <c r="R18" i="1"/>
  <c r="S18" i="1"/>
  <c r="T18" i="1"/>
  <c r="U18" i="1"/>
  <c r="V18" i="1"/>
  <c r="W18" i="1"/>
  <c r="X18" i="1"/>
  <c r="E18" i="1"/>
  <c r="T16" i="19"/>
  <c r="W33" i="19"/>
  <c r="W32" i="19"/>
  <c r="W31" i="19"/>
  <c r="W30" i="19"/>
  <c r="W29" i="19"/>
  <c r="W28" i="19"/>
  <c r="W27" i="19"/>
  <c r="W26" i="19"/>
  <c r="W25" i="19"/>
  <c r="W24" i="19"/>
  <c r="W23" i="19"/>
  <c r="W22" i="19"/>
  <c r="W21" i="19"/>
  <c r="W20" i="19"/>
  <c r="W19" i="19"/>
  <c r="AT2" i="27" l="1"/>
  <c r="B27" i="27" s="1"/>
  <c r="O126" i="27"/>
  <c r="U69" i="27"/>
  <c r="T69" i="27"/>
  <c r="U61" i="27"/>
  <c r="T61" i="27"/>
  <c r="U72" i="27"/>
  <c r="T72" i="27"/>
  <c r="U64" i="27"/>
  <c r="T64" i="27"/>
  <c r="T56" i="27"/>
  <c r="U56" i="27"/>
  <c r="T71" i="27"/>
  <c r="U71" i="27"/>
  <c r="T67" i="27"/>
  <c r="U67" i="27"/>
  <c r="T63" i="27"/>
  <c r="U63" i="27"/>
  <c r="T59" i="27"/>
  <c r="U59" i="27"/>
  <c r="U65" i="27"/>
  <c r="T65" i="27"/>
  <c r="U57" i="27"/>
  <c r="T57" i="27"/>
  <c r="T68" i="27"/>
  <c r="U68" i="27"/>
  <c r="T60" i="27"/>
  <c r="U60" i="27"/>
  <c r="T70" i="27"/>
  <c r="U70" i="27"/>
  <c r="U66" i="27"/>
  <c r="T66" i="27"/>
  <c r="T62" i="27"/>
  <c r="U62" i="27"/>
  <c r="U58" i="27"/>
  <c r="T58" i="27"/>
  <c r="AN18" i="27"/>
  <c r="O162" i="27"/>
  <c r="AJ18" i="27"/>
  <c r="O158" i="27"/>
  <c r="AF18" i="27"/>
  <c r="O154" i="27"/>
  <c r="AB18" i="27"/>
  <c r="O150" i="27"/>
  <c r="X18" i="27"/>
  <c r="O146" i="27"/>
  <c r="AM18" i="27"/>
  <c r="O161" i="27"/>
  <c r="AI18" i="27"/>
  <c r="O157" i="27"/>
  <c r="AE18" i="27"/>
  <c r="O153" i="27"/>
  <c r="AA18" i="27"/>
  <c r="O149" i="27"/>
  <c r="AL18" i="27"/>
  <c r="O160" i="27"/>
  <c r="AH18" i="27"/>
  <c r="O156" i="27"/>
  <c r="AD18" i="27"/>
  <c r="O152" i="27"/>
  <c r="Z18" i="27"/>
  <c r="O148" i="27"/>
  <c r="AK18" i="27"/>
  <c r="O159" i="27"/>
  <c r="AG18" i="27"/>
  <c r="O155" i="27"/>
  <c r="AC18" i="27"/>
  <c r="O151" i="27"/>
  <c r="Y18" i="27"/>
  <c r="O147" i="27"/>
  <c r="B52" i="27"/>
  <c r="T18" i="27"/>
  <c r="B46" i="27"/>
  <c r="N18" i="27"/>
  <c r="B40" i="27"/>
  <c r="H18" i="27"/>
  <c r="B51" i="27"/>
  <c r="S18" i="27"/>
  <c r="B45" i="27"/>
  <c r="M18" i="27"/>
  <c r="B39" i="27"/>
  <c r="G18" i="27"/>
  <c r="B50" i="27"/>
  <c r="R18" i="27"/>
  <c r="B44" i="27"/>
  <c r="L18" i="27"/>
  <c r="B38" i="27"/>
  <c r="F18" i="27"/>
  <c r="B49" i="27"/>
  <c r="Q18" i="27"/>
  <c r="B43" i="27"/>
  <c r="K18" i="27"/>
  <c r="B34" i="27"/>
  <c r="B18" i="27"/>
  <c r="B54" i="27"/>
  <c r="B48" i="27"/>
  <c r="P18" i="27"/>
  <c r="B42" i="27"/>
  <c r="J18" i="27"/>
  <c r="B36" i="27"/>
  <c r="D18" i="27"/>
  <c r="B53" i="27"/>
  <c r="U18" i="27"/>
  <c r="B47" i="27"/>
  <c r="O18" i="27"/>
  <c r="B41" i="27"/>
  <c r="I18" i="27"/>
  <c r="B35" i="27"/>
  <c r="C18" i="27"/>
  <c r="B37" i="27"/>
  <c r="E18" i="27"/>
  <c r="AA27" i="20"/>
  <c r="AA22" i="20"/>
  <c r="AA28" i="20"/>
  <c r="AA36" i="20"/>
  <c r="AA21" i="20"/>
  <c r="AA29" i="20"/>
  <c r="AA37" i="20"/>
  <c r="AA23" i="20"/>
  <c r="AA30" i="20"/>
  <c r="AA38" i="20"/>
  <c r="AA34" i="20"/>
  <c r="AA31" i="20"/>
  <c r="AA39" i="20"/>
  <c r="AA35" i="20"/>
  <c r="AA25" i="20"/>
  <c r="AA24" i="20"/>
  <c r="AA32" i="20"/>
  <c r="AA20" i="20"/>
  <c r="AA33" i="20"/>
  <c r="AA26" i="20"/>
  <c r="AK27" i="27" l="1"/>
  <c r="AC27" i="27"/>
  <c r="U27" i="27"/>
  <c r="M27" i="27"/>
  <c r="E27" i="27"/>
  <c r="Y27" i="27"/>
  <c r="X27" i="27"/>
  <c r="N27" i="27"/>
  <c r="AJ27" i="27"/>
  <c r="AB27" i="27"/>
  <c r="T27" i="27"/>
  <c r="L27" i="27"/>
  <c r="D27" i="27"/>
  <c r="Q27" i="27"/>
  <c r="AF27" i="27"/>
  <c r="H27" i="27"/>
  <c r="AI27" i="27"/>
  <c r="AA27" i="27"/>
  <c r="S27" i="27"/>
  <c r="K27" i="27"/>
  <c r="C27" i="27"/>
  <c r="AO27" i="27"/>
  <c r="AN27" i="27"/>
  <c r="AP27" i="27"/>
  <c r="AH27" i="27"/>
  <c r="Z27" i="27"/>
  <c r="R27" i="27"/>
  <c r="J27" i="27"/>
  <c r="AG27" i="27"/>
  <c r="I27" i="27"/>
  <c r="P27" i="27"/>
  <c r="F27" i="27"/>
  <c r="AM27" i="27"/>
  <c r="AE27" i="27"/>
  <c r="W27" i="27"/>
  <c r="O27" i="27"/>
  <c r="G27" i="27"/>
  <c r="AD27" i="27"/>
  <c r="AL27" i="27"/>
  <c r="V27" i="27"/>
  <c r="U37" i="27"/>
  <c r="T37" i="27"/>
  <c r="U38" i="27"/>
  <c r="T38" i="27"/>
  <c r="U39" i="27"/>
  <c r="T39" i="27"/>
  <c r="T35" i="27"/>
  <c r="U35" i="27"/>
  <c r="U53" i="27"/>
  <c r="T53" i="27"/>
  <c r="U48" i="27"/>
  <c r="T48" i="27"/>
  <c r="T40" i="27"/>
  <c r="U40" i="27"/>
  <c r="T43" i="27"/>
  <c r="U43" i="27"/>
  <c r="T44" i="27"/>
  <c r="U44" i="27"/>
  <c r="U45" i="27"/>
  <c r="T45" i="27"/>
  <c r="U41" i="27"/>
  <c r="T41" i="27"/>
  <c r="U36" i="27"/>
  <c r="T36" i="27"/>
  <c r="T54" i="27"/>
  <c r="U54" i="27"/>
  <c r="U46" i="27"/>
  <c r="T46" i="27"/>
  <c r="T49" i="27"/>
  <c r="U49" i="27"/>
  <c r="U50" i="27"/>
  <c r="T50" i="27"/>
  <c r="U51" i="27"/>
  <c r="T51" i="27"/>
  <c r="T47" i="27"/>
  <c r="U47" i="27"/>
  <c r="U42" i="27"/>
  <c r="T42" i="27"/>
  <c r="U34" i="27"/>
  <c r="T34" i="27"/>
  <c r="T52" i="27"/>
  <c r="U52" i="27"/>
  <c r="I4" i="20"/>
  <c r="J4" i="20"/>
  <c r="K4" i="20"/>
  <c r="L4" i="20" s="1"/>
  <c r="L5" i="20"/>
  <c r="I7" i="20"/>
  <c r="J7" i="20"/>
  <c r="K7" i="20"/>
  <c r="L7" i="20" s="1"/>
  <c r="I8" i="20"/>
  <c r="J8" i="20"/>
  <c r="K8" i="20"/>
  <c r="L8" i="20" s="1"/>
  <c r="K3" i="20"/>
  <c r="L3" i="20" s="1"/>
  <c r="J3" i="20"/>
  <c r="I3" i="20"/>
  <c r="M3" i="20" l="1"/>
  <c r="DR29" i="1"/>
  <c r="DR30" i="1"/>
  <c r="DR31" i="1"/>
  <c r="DR32" i="1"/>
  <c r="DR33" i="1"/>
  <c r="DR34" i="1"/>
  <c r="DR35" i="1"/>
  <c r="DR28" i="1"/>
  <c r="DQ29" i="1"/>
  <c r="DS29" i="1" s="1"/>
  <c r="DQ30" i="1"/>
  <c r="DS30" i="1" s="1"/>
  <c r="DQ31" i="1"/>
  <c r="DS31" i="1" s="1"/>
  <c r="DQ32" i="1"/>
  <c r="DS32" i="1" s="1"/>
  <c r="DQ33" i="1"/>
  <c r="DS33" i="1" s="1"/>
  <c r="DQ34" i="1"/>
  <c r="DS34" i="1" s="1"/>
  <c r="DQ35" i="1"/>
  <c r="DS35" i="1" s="1"/>
  <c r="DQ28" i="1"/>
  <c r="DS28" i="1" s="1"/>
  <c r="DR73" i="1"/>
  <c r="DR74" i="1"/>
  <c r="DR75" i="1"/>
  <c r="DR76" i="1"/>
  <c r="DR77" i="1"/>
  <c r="DR78" i="1"/>
  <c r="DR79" i="1"/>
  <c r="DR80" i="1"/>
  <c r="DR81" i="1"/>
  <c r="DR82" i="1"/>
  <c r="DR83" i="1"/>
  <c r="DR84" i="1"/>
  <c r="DR85" i="1"/>
  <c r="DR86" i="1"/>
  <c r="DR87" i="1"/>
  <c r="DR88" i="1"/>
  <c r="DR89" i="1"/>
  <c r="DR90" i="1"/>
  <c r="DR91" i="1"/>
  <c r="DR92" i="1"/>
  <c r="DR93" i="1"/>
  <c r="DR94" i="1"/>
  <c r="DR95" i="1"/>
  <c r="DR96" i="1"/>
  <c r="DR97" i="1"/>
  <c r="DR98" i="1"/>
  <c r="DR99" i="1"/>
  <c r="DR100" i="1"/>
  <c r="DR101" i="1"/>
  <c r="DR102" i="1"/>
  <c r="DR103" i="1"/>
  <c r="DR104" i="1"/>
  <c r="DR105" i="1"/>
  <c r="DR106" i="1"/>
  <c r="DR107" i="1"/>
  <c r="DR108" i="1"/>
  <c r="DR109" i="1"/>
  <c r="DR110" i="1"/>
  <c r="DR71" i="1"/>
  <c r="DQ73" i="1"/>
  <c r="DQ74" i="1"/>
  <c r="DQ75" i="1"/>
  <c r="DQ76" i="1"/>
  <c r="DQ77" i="1"/>
  <c r="DQ78" i="1"/>
  <c r="DQ79" i="1"/>
  <c r="DQ80" i="1"/>
  <c r="DQ81" i="1"/>
  <c r="DQ82" i="1"/>
  <c r="DQ83" i="1"/>
  <c r="DQ84" i="1"/>
  <c r="DQ85" i="1"/>
  <c r="DQ86" i="1"/>
  <c r="DQ87" i="1"/>
  <c r="DQ88" i="1"/>
  <c r="DQ89" i="1"/>
  <c r="DQ90" i="1"/>
  <c r="DQ91" i="1"/>
  <c r="DQ92" i="1"/>
  <c r="DQ93" i="1"/>
  <c r="DQ94" i="1"/>
  <c r="DQ95" i="1"/>
  <c r="DQ96" i="1"/>
  <c r="DQ97" i="1"/>
  <c r="DQ98" i="1"/>
  <c r="DQ99" i="1"/>
  <c r="DQ100" i="1"/>
  <c r="DQ101" i="1"/>
  <c r="DQ102" i="1"/>
  <c r="DQ103" i="1"/>
  <c r="DQ104" i="1"/>
  <c r="DQ105" i="1"/>
  <c r="DQ106" i="1"/>
  <c r="DQ107" i="1"/>
  <c r="DQ108" i="1"/>
  <c r="DQ109" i="1"/>
  <c r="DQ110" i="1"/>
  <c r="DQ71" i="1"/>
  <c r="DP103" i="1"/>
  <c r="DS103" i="1" s="1"/>
  <c r="DT103" i="1" s="1"/>
  <c r="DP104" i="1"/>
  <c r="DS104" i="1" s="1"/>
  <c r="DP105" i="1"/>
  <c r="DS105" i="1" s="1"/>
  <c r="DT105" i="1" s="1"/>
  <c r="DP106" i="1"/>
  <c r="DS106" i="1" s="1"/>
  <c r="DP107" i="1"/>
  <c r="DS107" i="1" s="1"/>
  <c r="DP108" i="1"/>
  <c r="DS108" i="1" s="1"/>
  <c r="DT108" i="1" s="1"/>
  <c r="DP109" i="1"/>
  <c r="DS109" i="1" s="1"/>
  <c r="DT109" i="1" s="1"/>
  <c r="DP110" i="1"/>
  <c r="DS110" i="1" s="1"/>
  <c r="DP95" i="1"/>
  <c r="DS95" i="1" s="1"/>
  <c r="DP96" i="1"/>
  <c r="DS96" i="1" s="1"/>
  <c r="DT96" i="1" s="1"/>
  <c r="DP97" i="1"/>
  <c r="DS97" i="1" s="1"/>
  <c r="DP98" i="1"/>
  <c r="DS98" i="1" s="1"/>
  <c r="DP99" i="1"/>
  <c r="DS99" i="1" s="1"/>
  <c r="DP100" i="1"/>
  <c r="DS100" i="1" s="1"/>
  <c r="DP101" i="1"/>
  <c r="DS101" i="1" s="1"/>
  <c r="DP102" i="1"/>
  <c r="DS102" i="1" s="1"/>
  <c r="DT102" i="1" s="1"/>
  <c r="DP73" i="1"/>
  <c r="DS73" i="1" s="1"/>
  <c r="DT73" i="1" s="1"/>
  <c r="DP74" i="1"/>
  <c r="DS74" i="1" s="1"/>
  <c r="DP75" i="1"/>
  <c r="DS75" i="1" s="1"/>
  <c r="DP76" i="1"/>
  <c r="DS76" i="1" s="1"/>
  <c r="DP77" i="1"/>
  <c r="DS77" i="1" s="1"/>
  <c r="DT77" i="1" s="1"/>
  <c r="DP78" i="1"/>
  <c r="DS78" i="1" s="1"/>
  <c r="DP79" i="1"/>
  <c r="DS79" i="1" s="1"/>
  <c r="DP80" i="1"/>
  <c r="DS80" i="1" s="1"/>
  <c r="DT80" i="1" s="1"/>
  <c r="DP81" i="1"/>
  <c r="DS81" i="1" s="1"/>
  <c r="DP82" i="1"/>
  <c r="DS82" i="1" s="1"/>
  <c r="DT82" i="1" s="1"/>
  <c r="DP83" i="1"/>
  <c r="DS83" i="1" s="1"/>
  <c r="DP84" i="1"/>
  <c r="DS84" i="1" s="1"/>
  <c r="DP85" i="1"/>
  <c r="DS85" i="1" s="1"/>
  <c r="DT85" i="1" s="1"/>
  <c r="DP86" i="1"/>
  <c r="DS86" i="1" s="1"/>
  <c r="DP87" i="1"/>
  <c r="DS87" i="1" s="1"/>
  <c r="DT87" i="1" s="1"/>
  <c r="DP88" i="1"/>
  <c r="DS88" i="1" s="1"/>
  <c r="DP89" i="1"/>
  <c r="DS89" i="1" s="1"/>
  <c r="DP90" i="1"/>
  <c r="DS90" i="1" s="1"/>
  <c r="DP91" i="1"/>
  <c r="DS91" i="1" s="1"/>
  <c r="DT91" i="1" s="1"/>
  <c r="DP92" i="1"/>
  <c r="DS92" i="1" s="1"/>
  <c r="DP93" i="1"/>
  <c r="DS93" i="1" s="1"/>
  <c r="DP94" i="1"/>
  <c r="DS94" i="1" s="1"/>
  <c r="DT94" i="1" s="1"/>
  <c r="DP71" i="1"/>
  <c r="DS71" i="1" s="1"/>
  <c r="DJ32" i="1"/>
  <c r="DL32" i="1" s="1"/>
  <c r="DJ56" i="1"/>
  <c r="DK58" i="1"/>
  <c r="DK31" i="1"/>
  <c r="DK32" i="1"/>
  <c r="DK33" i="1"/>
  <c r="DK34" i="1"/>
  <c r="DK35" i="1"/>
  <c r="DK36" i="1"/>
  <c r="DK37" i="1"/>
  <c r="DK38" i="1"/>
  <c r="DK39" i="1"/>
  <c r="DK40" i="1"/>
  <c r="DK41" i="1"/>
  <c r="DK42" i="1"/>
  <c r="DK43" i="1"/>
  <c r="DK44" i="1"/>
  <c r="DK45" i="1"/>
  <c r="DK46" i="1"/>
  <c r="DK47" i="1"/>
  <c r="DK48" i="1"/>
  <c r="DK49" i="1"/>
  <c r="DK50" i="1"/>
  <c r="DK51" i="1"/>
  <c r="DK52" i="1"/>
  <c r="DK53" i="1"/>
  <c r="DK54" i="1"/>
  <c r="DK55" i="1"/>
  <c r="DK57" i="1"/>
  <c r="DK59" i="1"/>
  <c r="DK60" i="1"/>
  <c r="DK61" i="1"/>
  <c r="DK62" i="1"/>
  <c r="DK63" i="1"/>
  <c r="DK64" i="1"/>
  <c r="DK65" i="1"/>
  <c r="DK66" i="1"/>
  <c r="DK67" i="1"/>
  <c r="DK68" i="1"/>
  <c r="DK69" i="1"/>
  <c r="DK29" i="1"/>
  <c r="DJ69" i="1"/>
  <c r="DL69" i="1" s="1" a="1"/>
  <c r="DL69" i="1" s="1"/>
  <c r="DJ60" i="1"/>
  <c r="DL60" i="1" s="1" a="1"/>
  <c r="DL60" i="1" s="1"/>
  <c r="DM60" i="1" s="1"/>
  <c r="DJ61" i="1"/>
  <c r="DL61" i="1" s="1" a="1"/>
  <c r="DL61" i="1" s="1"/>
  <c r="DJ62" i="1"/>
  <c r="DL62" i="1" s="1" a="1"/>
  <c r="DL62" i="1" s="1"/>
  <c r="DJ63" i="1"/>
  <c r="DL63" i="1" s="1" a="1"/>
  <c r="DL63" i="1" s="1"/>
  <c r="DJ64" i="1"/>
  <c r="DL64" i="1" s="1" a="1"/>
  <c r="DL64" i="1" s="1"/>
  <c r="DJ65" i="1"/>
  <c r="DL65" i="1" s="1" a="1"/>
  <c r="DL65" i="1" s="1"/>
  <c r="DJ66" i="1"/>
  <c r="DL66" i="1" s="1" a="1"/>
  <c r="DL66" i="1" s="1"/>
  <c r="DJ67" i="1"/>
  <c r="DL67" i="1" s="1" a="1"/>
  <c r="DL67" i="1" s="1"/>
  <c r="DJ68" i="1"/>
  <c r="DL68" i="1" s="1" a="1"/>
  <c r="DL68" i="1" s="1"/>
  <c r="DJ31" i="1"/>
  <c r="DL31" i="1" s="1"/>
  <c r="DJ33" i="1"/>
  <c r="DL33" i="1" s="1"/>
  <c r="DJ34" i="1"/>
  <c r="DL34" i="1" s="1"/>
  <c r="DJ35" i="1"/>
  <c r="DL35" i="1" s="1"/>
  <c r="DJ36" i="1"/>
  <c r="DL36" i="1" s="1"/>
  <c r="DJ37" i="1"/>
  <c r="DL37" i="1" s="1"/>
  <c r="DJ38" i="1"/>
  <c r="DJ39" i="1"/>
  <c r="DL39" i="1" s="1"/>
  <c r="DJ40" i="1"/>
  <c r="DL40" i="1" s="1"/>
  <c r="DJ41" i="1"/>
  <c r="DL41" i="1" s="1"/>
  <c r="DJ42" i="1"/>
  <c r="DL42" i="1" s="1"/>
  <c r="DJ43" i="1"/>
  <c r="DJ44" i="1"/>
  <c r="DL44" i="1" s="1"/>
  <c r="DJ45" i="1"/>
  <c r="DL45" i="1" s="1"/>
  <c r="DJ46" i="1"/>
  <c r="DL46" i="1" s="1"/>
  <c r="DJ47" i="1"/>
  <c r="DL47" i="1" s="1"/>
  <c r="DJ48" i="1"/>
  <c r="DL48" i="1" s="1"/>
  <c r="DJ49" i="1"/>
  <c r="DL49" i="1" s="1"/>
  <c r="DJ50" i="1"/>
  <c r="DL50" i="1" s="1"/>
  <c r="DJ51" i="1"/>
  <c r="DL51" i="1" s="1"/>
  <c r="DJ52" i="1"/>
  <c r="DL52" i="1" s="1"/>
  <c r="DJ53" i="1"/>
  <c r="DL53" i="1" s="1"/>
  <c r="DJ54" i="1"/>
  <c r="DL54" i="1" s="1"/>
  <c r="DJ55" i="1"/>
  <c r="DL55" i="1" s="1"/>
  <c r="DJ57" i="1"/>
  <c r="DJ58" i="1"/>
  <c r="DL58" i="1" s="1" a="1"/>
  <c r="DL58" i="1" s="1"/>
  <c r="DJ59" i="1"/>
  <c r="DL59" i="1" s="1" a="1"/>
  <c r="DL59" i="1" s="1"/>
  <c r="DJ30" i="1"/>
  <c r="DK23" i="1"/>
  <c r="DK24" i="1"/>
  <c r="DK25" i="1"/>
  <c r="DK26" i="1"/>
  <c r="DK27" i="1"/>
  <c r="DK22" i="1"/>
  <c r="DJ23" i="1"/>
  <c r="DJ24" i="1"/>
  <c r="DQ22" i="1" s="1"/>
  <c r="DJ25" i="1"/>
  <c r="DJ26" i="1"/>
  <c r="DJ27" i="1"/>
  <c r="DJ22" i="1"/>
  <c r="DK17" i="1"/>
  <c r="DK18" i="1"/>
  <c r="DK19" i="1"/>
  <c r="DK16" i="1"/>
  <c r="DJ17" i="1"/>
  <c r="DL17" i="1" s="1"/>
  <c r="DJ18" i="1"/>
  <c r="DL18" i="1" s="1"/>
  <c r="DJ19" i="1"/>
  <c r="DL19" i="1" s="1"/>
  <c r="DJ16" i="1"/>
  <c r="DL16" i="1" s="1"/>
  <c r="DK6" i="1"/>
  <c r="DL10" i="1"/>
  <c r="DL11" i="1"/>
  <c r="DL7" i="1"/>
  <c r="DL8" i="1"/>
  <c r="DJ6" i="1"/>
  <c r="DL6" i="1" s="1"/>
  <c r="DT86" i="1" l="1"/>
  <c r="DT104" i="1"/>
  <c r="DT101" i="1"/>
  <c r="DT84" i="1"/>
  <c r="DT100" i="1"/>
  <c r="DM61" i="1"/>
  <c r="DT83" i="1"/>
  <c r="DT99" i="1"/>
  <c r="DM63" i="1"/>
  <c r="DT98" i="1"/>
  <c r="DM19" i="1"/>
  <c r="DT81" i="1"/>
  <c r="DT97" i="1"/>
  <c r="DT93" i="1"/>
  <c r="DT79" i="1"/>
  <c r="DT95" i="1"/>
  <c r="DP14" i="1"/>
  <c r="DR14" i="1" s="1"/>
  <c r="DT92" i="1"/>
  <c r="DT78" i="1"/>
  <c r="DT110" i="1"/>
  <c r="DT90" i="1"/>
  <c r="DT76" i="1"/>
  <c r="DT89" i="1"/>
  <c r="DT75" i="1"/>
  <c r="DT107" i="1"/>
  <c r="DT88" i="1"/>
  <c r="DT74" i="1"/>
  <c r="DT106" i="1"/>
  <c r="DT71" i="1"/>
  <c r="DM18" i="1"/>
  <c r="DM17" i="1"/>
  <c r="DL22" i="1"/>
  <c r="DQ20" i="1"/>
  <c r="DL27" i="1"/>
  <c r="DP25" i="1" s="1"/>
  <c r="DQ25" i="1"/>
  <c r="DL23" i="1"/>
  <c r="DP21" i="1" s="1"/>
  <c r="DQ21" i="1"/>
  <c r="DL26" i="1"/>
  <c r="DM26" i="1" s="1"/>
  <c r="DQ24" i="1"/>
  <c r="DL25" i="1"/>
  <c r="DP23" i="1" s="1"/>
  <c r="DQ23" i="1"/>
  <c r="F193" i="14"/>
  <c r="DL24" i="1"/>
  <c r="DP22" i="1" s="1"/>
  <c r="DR22" i="1" s="1"/>
  <c r="DL43" i="1"/>
  <c r="DM43" i="1" s="1"/>
  <c r="DL57" i="1" a="1"/>
  <c r="DL57" i="1" s="1"/>
  <c r="DM57" i="1" s="1"/>
  <c r="DL38" i="1"/>
  <c r="DM38" i="1" s="1"/>
  <c r="F199" i="14"/>
  <c r="DM31" i="1"/>
  <c r="DM10" i="1"/>
  <c r="DM48" i="1"/>
  <c r="DM40" i="1"/>
  <c r="DM8" i="1"/>
  <c r="DM55" i="1"/>
  <c r="DM51" i="1"/>
  <c r="DM39" i="1"/>
  <c r="DM35" i="1"/>
  <c r="DM6" i="1"/>
  <c r="DM69" i="1"/>
  <c r="DM32" i="1"/>
  <c r="DM52" i="1"/>
  <c r="DM65" i="1"/>
  <c r="DM68" i="1"/>
  <c r="DM64" i="1"/>
  <c r="DM46" i="1"/>
  <c r="DM11" i="1"/>
  <c r="DM49" i="1"/>
  <c r="DM33" i="1"/>
  <c r="DM47" i="1"/>
  <c r="DM53" i="1"/>
  <c r="DM45" i="1"/>
  <c r="DM9" i="1"/>
  <c r="DM62" i="1"/>
  <c r="DM44" i="1"/>
  <c r="DM36" i="1"/>
  <c r="DT35" i="1"/>
  <c r="DM16" i="1"/>
  <c r="DN16" i="1" s="1"/>
  <c r="DM37" i="1"/>
  <c r="DM58" i="1"/>
  <c r="DT28" i="1"/>
  <c r="DM67" i="1"/>
  <c r="DM59" i="1"/>
  <c r="DM41" i="1"/>
  <c r="DM66" i="1"/>
  <c r="DM54" i="1"/>
  <c r="DT34" i="1"/>
  <c r="DT33" i="1"/>
  <c r="DT32" i="1"/>
  <c r="DT31" i="1"/>
  <c r="DM7" i="1"/>
  <c r="DT30" i="1"/>
  <c r="DM50" i="1"/>
  <c r="DM42" i="1"/>
  <c r="DM34" i="1"/>
  <c r="DT29" i="1"/>
  <c r="CF5" i="1"/>
  <c r="CJ109" i="1" s="1"/>
  <c r="CF3" i="1"/>
  <c r="CJ110" i="1" s="1"/>
  <c r="CF4" i="1"/>
  <c r="CJ108" i="1" s="1"/>
  <c r="CE5" i="1"/>
  <c r="CE3" i="1"/>
  <c r="CE4" i="1"/>
  <c r="BY56" i="1"/>
  <c r="CD123" i="1" s="1"/>
  <c r="BY57" i="1"/>
  <c r="CD124" i="1" s="1"/>
  <c r="BY55" i="1"/>
  <c r="CD122" i="1" s="1"/>
  <c r="BX56" i="1"/>
  <c r="BX57" i="1"/>
  <c r="BX55" i="1"/>
  <c r="BY4" i="1"/>
  <c r="CJ123" i="1" s="1"/>
  <c r="BY5" i="1"/>
  <c r="CJ124" i="1" s="1"/>
  <c r="BY3" i="1"/>
  <c r="CJ122" i="1" s="1"/>
  <c r="BX4" i="1"/>
  <c r="BX5" i="1"/>
  <c r="BX3" i="1"/>
  <c r="BR59" i="1"/>
  <c r="CD137" i="1" s="1"/>
  <c r="BR60" i="1"/>
  <c r="CD138" i="1" s="1"/>
  <c r="BR58" i="1"/>
  <c r="CD136" i="1" s="1"/>
  <c r="BQ59" i="1"/>
  <c r="BQ60" i="1"/>
  <c r="BQ58" i="1"/>
  <c r="BR4" i="1"/>
  <c r="CD109" i="1" s="1"/>
  <c r="BR5" i="1"/>
  <c r="CD110" i="1" s="1"/>
  <c r="BR3" i="1"/>
  <c r="CD108" i="1" s="1"/>
  <c r="BQ5" i="1"/>
  <c r="BQ4" i="1"/>
  <c r="BQ3" i="1"/>
  <c r="BJ49" i="1"/>
  <c r="BX123" i="1" s="1"/>
  <c r="BJ50" i="1"/>
  <c r="BX124" i="1" s="1"/>
  <c r="BJ48" i="1"/>
  <c r="BX122" i="1" s="1"/>
  <c r="BI50" i="1"/>
  <c r="BI49" i="1"/>
  <c r="BI48" i="1"/>
  <c r="BJ5" i="1"/>
  <c r="BX109" i="1" s="1"/>
  <c r="BJ3" i="1"/>
  <c r="BX110" i="1" s="1"/>
  <c r="BJ4" i="1"/>
  <c r="BX108" i="1" s="1"/>
  <c r="BI5" i="1"/>
  <c r="BI3" i="1"/>
  <c r="BI4" i="1"/>
  <c r="DR23" i="1" l="1"/>
  <c r="DR21" i="1"/>
  <c r="DN30" i="1"/>
  <c r="DR25" i="1"/>
  <c r="DN6" i="1"/>
  <c r="H192" i="14" s="1"/>
  <c r="K93" i="14" s="1"/>
  <c r="DM22" i="1"/>
  <c r="DP20" i="1"/>
  <c r="DR20" i="1" s="1"/>
  <c r="DM27" i="1"/>
  <c r="H193" i="14"/>
  <c r="DM23" i="1"/>
  <c r="DP24" i="1"/>
  <c r="DR24" i="1" s="1"/>
  <c r="DM25" i="1"/>
  <c r="DM24" i="1"/>
  <c r="H195" i="14"/>
  <c r="DS14" i="1"/>
  <c r="BS3" i="1"/>
  <c r="BT3" i="1" s="1"/>
  <c r="CC108" i="1"/>
  <c r="CE108" i="1" s="1"/>
  <c r="CF108" i="1" s="1"/>
  <c r="BZ55" i="1"/>
  <c r="CA55" i="1" s="1"/>
  <c r="CC122" i="1"/>
  <c r="CE122" i="1" s="1"/>
  <c r="CF122" i="1" s="1"/>
  <c r="BK3" i="1"/>
  <c r="BL3" i="1" s="1"/>
  <c r="BW110" i="1"/>
  <c r="BY110" i="1" s="1"/>
  <c r="BZ110" i="1" s="1"/>
  <c r="BS4" i="1"/>
  <c r="BT4" i="1" s="1"/>
  <c r="CC109" i="1"/>
  <c r="CE109" i="1" s="1"/>
  <c r="CF109" i="1" s="1"/>
  <c r="BZ57" i="1"/>
  <c r="CA57" i="1" s="1"/>
  <c r="CC124" i="1"/>
  <c r="CE124" i="1" s="1"/>
  <c r="CF124" i="1" s="1"/>
  <c r="CG3" i="1"/>
  <c r="CH3" i="1" s="1"/>
  <c r="CI110" i="1"/>
  <c r="BK5" i="1"/>
  <c r="BL5" i="1" s="1"/>
  <c r="BW109" i="1"/>
  <c r="BY109" i="1" s="1"/>
  <c r="BZ109" i="1" s="1"/>
  <c r="BK50" i="1"/>
  <c r="BL50" i="1" s="1"/>
  <c r="BW124" i="1"/>
  <c r="BY124" i="1" s="1"/>
  <c r="BZ124" i="1" s="1"/>
  <c r="BS5" i="1"/>
  <c r="BT5" i="1" s="1"/>
  <c r="CC110" i="1"/>
  <c r="CE110" i="1" s="1"/>
  <c r="CF110" i="1" s="1"/>
  <c r="BS59" i="1"/>
  <c r="BT59" i="1" s="1"/>
  <c r="CC137" i="1"/>
  <c r="CE137" i="1" s="1"/>
  <c r="CF137" i="1" s="1"/>
  <c r="BZ56" i="1"/>
  <c r="CA56" i="1" s="1"/>
  <c r="CC123" i="1"/>
  <c r="CE123" i="1" s="1"/>
  <c r="CF123" i="1" s="1"/>
  <c r="CG5" i="1"/>
  <c r="CH5" i="1" s="1"/>
  <c r="CI109" i="1"/>
  <c r="BK4" i="1"/>
  <c r="BL4" i="1" s="1"/>
  <c r="BW108" i="1"/>
  <c r="BY108" i="1" s="1"/>
  <c r="BZ108" i="1" s="1"/>
  <c r="CG4" i="1"/>
  <c r="CH4" i="1" s="1"/>
  <c r="CI108" i="1"/>
  <c r="BS60" i="1"/>
  <c r="BT60" i="1" s="1"/>
  <c r="CC138" i="1"/>
  <c r="CE138" i="1" s="1"/>
  <c r="CF138" i="1" s="1"/>
  <c r="BS58" i="1"/>
  <c r="BT58" i="1" s="1"/>
  <c r="CC136" i="1"/>
  <c r="CE136" i="1" s="1"/>
  <c r="CF136" i="1" s="1"/>
  <c r="BZ3" i="1"/>
  <c r="CA3" i="1" s="1"/>
  <c r="CI122" i="1"/>
  <c r="BK49" i="1"/>
  <c r="BL49" i="1" s="1"/>
  <c r="BW123" i="1"/>
  <c r="BY123" i="1" s="1"/>
  <c r="BZ123" i="1" s="1"/>
  <c r="BZ5" i="1"/>
  <c r="CA5" i="1" s="1"/>
  <c r="CI124" i="1"/>
  <c r="BZ4" i="1"/>
  <c r="CA4" i="1" s="1"/>
  <c r="CI123" i="1"/>
  <c r="BK48" i="1"/>
  <c r="BL48" i="1" s="1"/>
  <c r="BW122" i="1"/>
  <c r="BY122" i="1" s="1"/>
  <c r="BZ122" i="1" s="1"/>
  <c r="DN57" i="1"/>
  <c r="H196" i="14" s="1"/>
  <c r="DU71" i="1"/>
  <c r="H197" i="14" s="1"/>
  <c r="DU28" i="1"/>
  <c r="H198" i="14" s="1"/>
  <c r="DN22" i="1" l="1"/>
  <c r="H194" i="14" s="1"/>
  <c r="K94" i="14" s="1"/>
  <c r="DS20" i="1"/>
  <c r="H199" i="14"/>
  <c r="K95" i="14" s="1"/>
  <c r="CK123" i="1"/>
  <c r="CL123" i="1" s="1"/>
  <c r="CK108" i="1"/>
  <c r="CL108" i="1" s="1"/>
  <c r="CK109" i="1"/>
  <c r="CL109" i="1" s="1"/>
  <c r="CK110" i="1"/>
  <c r="CL110" i="1" s="1"/>
  <c r="CK124" i="1"/>
  <c r="CL124" i="1" s="1"/>
  <c r="CK122" i="1"/>
  <c r="CL122" i="1" s="1"/>
  <c r="CG108" i="1"/>
  <c r="H135" i="14" s="1"/>
  <c r="CG136" i="1"/>
  <c r="H132" i="14" s="1"/>
  <c r="CA108" i="1"/>
  <c r="H138" i="14" s="1"/>
  <c r="CA122" i="1"/>
  <c r="H141" i="14" s="1"/>
  <c r="CG122" i="1"/>
  <c r="H147" i="14" s="1"/>
  <c r="F29" i="14"/>
  <c r="CB3" i="1"/>
  <c r="H74" i="14" s="1"/>
  <c r="AN85" i="27" s="1"/>
  <c r="R39" i="24" s="1"/>
  <c r="CI4" i="1"/>
  <c r="H86" i="14" s="1"/>
  <c r="BM3" i="1"/>
  <c r="H60" i="14" s="1"/>
  <c r="BU3" i="1"/>
  <c r="H53" i="14" s="1"/>
  <c r="CB55" i="1"/>
  <c r="H80" i="14" s="1"/>
  <c r="BU58" i="1"/>
  <c r="H45" i="14" s="1"/>
  <c r="BM48" i="1"/>
  <c r="H67" i="14" s="1"/>
  <c r="B85" i="27" l="1"/>
  <c r="V84" i="27"/>
  <c r="W84" i="27" s="1"/>
  <c r="X38" i="24" s="1"/>
  <c r="G85" i="27"/>
  <c r="H85" i="27" s="1"/>
  <c r="O39" i="24" s="1"/>
  <c r="Q84" i="27"/>
  <c r="R84" i="27" s="1"/>
  <c r="U38" i="24" s="1"/>
  <c r="L86" i="27"/>
  <c r="M86" i="27" s="1"/>
  <c r="I40" i="24" s="1"/>
  <c r="CM122" i="1"/>
  <c r="H144" i="14" s="1"/>
  <c r="CM108" i="1"/>
  <c r="H150" i="14" s="1"/>
  <c r="C40" i="24"/>
  <c r="F40" i="24"/>
  <c r="BY27" i="1"/>
  <c r="BX27" i="1"/>
  <c r="BW27" i="1"/>
  <c r="BX26" i="1"/>
  <c r="BW26" i="1"/>
  <c r="BX25" i="1"/>
  <c r="BW25" i="1"/>
  <c r="BX24" i="1"/>
  <c r="BW24" i="1"/>
  <c r="BX23" i="1"/>
  <c r="BW23" i="1"/>
  <c r="BX22" i="1"/>
  <c r="BW22" i="1"/>
  <c r="BX21" i="1"/>
  <c r="BW21" i="1"/>
  <c r="BX20" i="1"/>
  <c r="BW20" i="1"/>
  <c r="CF46" i="1"/>
  <c r="CE46" i="1"/>
  <c r="CD46" i="1"/>
  <c r="CG46" i="1" s="1"/>
  <c r="CF45" i="1"/>
  <c r="CE45" i="1"/>
  <c r="CD45" i="1"/>
  <c r="CG45" i="1" s="1"/>
  <c r="CF44" i="1"/>
  <c r="CE44" i="1"/>
  <c r="CD44" i="1"/>
  <c r="CG44" i="1" s="1"/>
  <c r="CF43" i="1"/>
  <c r="CE43" i="1"/>
  <c r="CD43" i="1"/>
  <c r="CG43" i="1" s="1"/>
  <c r="CF42" i="1"/>
  <c r="CE42" i="1"/>
  <c r="CD42" i="1"/>
  <c r="CG42" i="1" s="1"/>
  <c r="CE24" i="1"/>
  <c r="CD24" i="1"/>
  <c r="CE23" i="1"/>
  <c r="CD23" i="1"/>
  <c r="CE22" i="1"/>
  <c r="CD22" i="1"/>
  <c r="CE21" i="1"/>
  <c r="CD21" i="1"/>
  <c r="CE20" i="1"/>
  <c r="CD20" i="1"/>
  <c r="CE19" i="1"/>
  <c r="CD19" i="1"/>
  <c r="CE18" i="1"/>
  <c r="CD18" i="1"/>
  <c r="BX77" i="1"/>
  <c r="BW77" i="1"/>
  <c r="BX76" i="1"/>
  <c r="BW76" i="1"/>
  <c r="BX75" i="1"/>
  <c r="BW75" i="1"/>
  <c r="BX74" i="1"/>
  <c r="BW74" i="1"/>
  <c r="BY101" i="1"/>
  <c r="BW101" i="1"/>
  <c r="BZ101" i="1" s="1"/>
  <c r="BY100" i="1"/>
  <c r="BW100" i="1"/>
  <c r="BZ100" i="1" s="1"/>
  <c r="BY99" i="1"/>
  <c r="BW99" i="1"/>
  <c r="BZ99" i="1" s="1"/>
  <c r="BY98" i="1"/>
  <c r="BW98" i="1"/>
  <c r="BZ98" i="1" s="1"/>
  <c r="BR103" i="1"/>
  <c r="BR102" i="1"/>
  <c r="BR101" i="1"/>
  <c r="BR100" i="1"/>
  <c r="BS80" i="1"/>
  <c r="BR80" i="1"/>
  <c r="BQ80" i="1"/>
  <c r="BP80" i="1"/>
  <c r="BQ79" i="1"/>
  <c r="BP79" i="1"/>
  <c r="BQ78" i="1"/>
  <c r="BP78" i="1"/>
  <c r="BQ77" i="1"/>
  <c r="BP77" i="1"/>
  <c r="BQ76" i="1"/>
  <c r="BP76" i="1"/>
  <c r="BQ27" i="1"/>
  <c r="BP27" i="1"/>
  <c r="BQ26" i="1"/>
  <c r="BP26" i="1"/>
  <c r="BQ25" i="1"/>
  <c r="BP25" i="1"/>
  <c r="BQ24" i="1"/>
  <c r="BP24" i="1"/>
  <c r="BJ94" i="1"/>
  <c r="BI94" i="1"/>
  <c r="BH94" i="1"/>
  <c r="BK94" i="1" s="1"/>
  <c r="BJ93" i="1"/>
  <c r="BI93" i="1"/>
  <c r="BH93" i="1"/>
  <c r="BK93" i="1" s="1"/>
  <c r="BJ92" i="1"/>
  <c r="BI92" i="1"/>
  <c r="BH92" i="1"/>
  <c r="BK92" i="1" s="1"/>
  <c r="BJ91" i="1"/>
  <c r="BI91" i="1"/>
  <c r="BH91" i="1"/>
  <c r="BK91" i="1" s="1"/>
  <c r="BI70" i="1"/>
  <c r="BH70" i="1"/>
  <c r="BI69" i="1"/>
  <c r="BH69" i="1"/>
  <c r="BI68" i="1"/>
  <c r="BH68" i="1"/>
  <c r="BI67" i="1"/>
  <c r="BH67" i="1"/>
  <c r="BJ46" i="1"/>
  <c r="BH46" i="1"/>
  <c r="BK46" i="1" s="1"/>
  <c r="BL46" i="1" s="1"/>
  <c r="BJ45" i="1"/>
  <c r="BH45" i="1"/>
  <c r="BK45" i="1" s="1"/>
  <c r="BJ44" i="1"/>
  <c r="BH44" i="1"/>
  <c r="BK44" i="1" s="1"/>
  <c r="BJ43" i="1"/>
  <c r="BH43" i="1"/>
  <c r="BK43" i="1" s="1"/>
  <c r="BI25" i="1"/>
  <c r="BH25" i="1"/>
  <c r="BI24" i="1"/>
  <c r="BH24" i="1"/>
  <c r="BI23" i="1"/>
  <c r="BH23" i="1"/>
  <c r="C85" i="27" l="1"/>
  <c r="L39" i="24" s="1"/>
  <c r="BZ76" i="1"/>
  <c r="CA76" i="1" s="1"/>
  <c r="CG20" i="1"/>
  <c r="CH20" i="1" s="1"/>
  <c r="BZ74" i="1"/>
  <c r="CA74" i="1" s="1"/>
  <c r="CG18" i="1"/>
  <c r="CH18" i="1" s="1"/>
  <c r="CG24" i="1"/>
  <c r="CH24" i="1" s="1"/>
  <c r="CG22" i="1"/>
  <c r="CH22" i="1" s="1"/>
  <c r="BZ75" i="1"/>
  <c r="CA75" i="1" s="1"/>
  <c r="BZ77" i="1"/>
  <c r="CA77" i="1" s="1"/>
  <c r="CG19" i="1"/>
  <c r="CH19" i="1" s="1"/>
  <c r="CG21" i="1"/>
  <c r="CH21" i="1" s="1"/>
  <c r="CG23" i="1"/>
  <c r="CH23" i="1" s="1"/>
  <c r="CH45" i="1"/>
  <c r="CA46" i="1"/>
  <c r="CA99" i="1"/>
  <c r="CH44" i="1"/>
  <c r="CA50" i="1"/>
  <c r="CH43" i="1"/>
  <c r="CA49" i="1"/>
  <c r="CH42" i="1"/>
  <c r="CH46" i="1"/>
  <c r="CA47" i="1"/>
  <c r="CA21" i="1"/>
  <c r="CA25" i="1"/>
  <c r="CA23" i="1"/>
  <c r="CA20" i="1"/>
  <c r="CA22" i="1"/>
  <c r="CA24" i="1"/>
  <c r="CA26" i="1"/>
  <c r="CA101" i="1"/>
  <c r="CA100" i="1"/>
  <c r="CA98" i="1"/>
  <c r="BT102" i="1"/>
  <c r="BT103" i="1"/>
  <c r="BT76" i="1"/>
  <c r="BT80" i="1"/>
  <c r="BT78" i="1"/>
  <c r="BT100" i="1"/>
  <c r="BT101" i="1"/>
  <c r="BT77" i="1"/>
  <c r="BT79" i="1"/>
  <c r="BT27" i="1"/>
  <c r="BT25" i="1"/>
  <c r="BT24" i="1"/>
  <c r="BT26" i="1"/>
  <c r="BL69" i="1"/>
  <c r="BL67" i="1"/>
  <c r="BL93" i="1"/>
  <c r="BL91" i="1"/>
  <c r="BL94" i="1"/>
  <c r="BL45" i="1"/>
  <c r="BL70" i="1"/>
  <c r="BL68" i="1"/>
  <c r="BL92" i="1"/>
  <c r="BL44" i="1"/>
  <c r="BL43" i="1"/>
  <c r="BL25" i="1"/>
  <c r="BL24" i="1"/>
  <c r="BL23" i="1"/>
  <c r="E305" i="1"/>
  <c r="L14" i="19"/>
  <c r="E312" i="1"/>
  <c r="BL13" i="1" l="1"/>
  <c r="BA129" i="1"/>
  <c r="BA130" i="1"/>
  <c r="BA131" i="1"/>
  <c r="BA132" i="1"/>
  <c r="BA133" i="1"/>
  <c r="BA134" i="1"/>
  <c r="BA135" i="1"/>
  <c r="BA128" i="1"/>
  <c r="AZ127" i="1"/>
  <c r="AZ128" i="1"/>
  <c r="AZ129" i="1"/>
  <c r="AZ130" i="1"/>
  <c r="AZ131" i="1"/>
  <c r="AZ132" i="1"/>
  <c r="AZ133" i="1"/>
  <c r="AZ134" i="1"/>
  <c r="AY128" i="1"/>
  <c r="AY129" i="1"/>
  <c r="AY130" i="1"/>
  <c r="AY131" i="1"/>
  <c r="AY132" i="1"/>
  <c r="AY133" i="1"/>
  <c r="AY134" i="1"/>
  <c r="AY127" i="1"/>
  <c r="BQ162" i="1" a="1"/>
  <c r="BQ162" i="1" s="1"/>
  <c r="F186" i="14" s="1"/>
  <c r="BP162" i="1" a="1"/>
  <c r="BP162" i="1" s="1"/>
  <c r="BR162" i="1" s="1"/>
  <c r="BQ153" i="1" a="1"/>
  <c r="BQ153" i="1" s="1"/>
  <c r="F184" i="14" s="1"/>
  <c r="BP153" i="1" a="1"/>
  <c r="BP153" i="1" s="1"/>
  <c r="BR153" i="1" s="1"/>
  <c r="BQ144" i="1" a="1"/>
  <c r="BQ144" i="1" s="1"/>
  <c r="F182" i="14" s="1"/>
  <c r="BP144" i="1" a="1"/>
  <c r="BP144" i="1" s="1"/>
  <c r="BR144" i="1" s="1"/>
  <c r="BQ135" i="1" a="1"/>
  <c r="BQ135" i="1" s="1"/>
  <c r="F174" i="14" s="1"/>
  <c r="BP135" i="1" a="1"/>
  <c r="BQ126" i="1" a="1"/>
  <c r="BQ126" i="1" s="1"/>
  <c r="F176" i="14" s="1"/>
  <c r="BP126" i="1" a="1"/>
  <c r="BP126" i="1" s="1"/>
  <c r="BR126" i="1" s="1"/>
  <c r="BQ117" i="1" a="1"/>
  <c r="BQ117" i="1" s="1"/>
  <c r="F180" i="14" s="1"/>
  <c r="BP117" i="1" a="1"/>
  <c r="BP117" i="1" s="1"/>
  <c r="BR117" i="1" s="1"/>
  <c r="BQ108" i="1" a="1"/>
  <c r="BQ108" i="1" s="1"/>
  <c r="F178" i="14" s="1"/>
  <c r="BP108" i="1" a="1"/>
  <c r="BP108" i="1" s="1"/>
  <c r="BR108" i="1" s="1"/>
  <c r="BI157" i="1" a="1"/>
  <c r="BI157" i="1" s="1"/>
  <c r="F129" i="14" s="1"/>
  <c r="BH157" i="1" a="1"/>
  <c r="BI147" i="1" a="1"/>
  <c r="BI147" i="1" s="1"/>
  <c r="F125" i="14" s="1"/>
  <c r="BH147" i="1" a="1"/>
  <c r="BI137" i="1" a="1"/>
  <c r="BI137" i="1" s="1"/>
  <c r="F121" i="14" s="1"/>
  <c r="BH137" i="1" a="1"/>
  <c r="BI127" i="1" a="1"/>
  <c r="BI127" i="1" s="1"/>
  <c r="F103" i="14" s="1"/>
  <c r="BH127" i="1" a="1"/>
  <c r="BI117" i="1" a="1"/>
  <c r="BI117" i="1" s="1"/>
  <c r="F107" i="14" s="1"/>
  <c r="BH117" i="1" a="1"/>
  <c r="BI107" i="1" a="1"/>
  <c r="BI107" i="1" s="1"/>
  <c r="F116" i="14" s="1"/>
  <c r="BI97" i="1" a="1"/>
  <c r="BI97" i="1" s="1"/>
  <c r="F111" i="14" s="1"/>
  <c r="BH107" i="1" a="1"/>
  <c r="BH97" i="1" a="1"/>
  <c r="BT66" i="1"/>
  <c r="CA63" i="1"/>
  <c r="CA12" i="1"/>
  <c r="AS45" i="1"/>
  <c r="AS46" i="1"/>
  <c r="AS54" i="1"/>
  <c r="AS60" i="1"/>
  <c r="AS63" i="1"/>
  <c r="AS64" i="1"/>
  <c r="AS67" i="1"/>
  <c r="AS68" i="1"/>
  <c r="AS69" i="1"/>
  <c r="AS72" i="1"/>
  <c r="AS73" i="1"/>
  <c r="AS77" i="1"/>
  <c r="AS78" i="1"/>
  <c r="AS79" i="1"/>
  <c r="AS88" i="1"/>
  <c r="AS89" i="1"/>
  <c r="AR41" i="1"/>
  <c r="AQ41" i="1"/>
  <c r="AP41" i="1"/>
  <c r="AS7" i="1"/>
  <c r="H63" i="20"/>
  <c r="H62" i="20"/>
  <c r="AR39" i="1"/>
  <c r="AS4" i="27" s="1"/>
  <c r="O165" i="27" s="1"/>
  <c r="AQ39" i="1"/>
  <c r="AR4" i="27" s="1"/>
  <c r="O164" i="27" s="1"/>
  <c r="AP39" i="1"/>
  <c r="AQ4" i="27" s="1"/>
  <c r="AR95" i="1"/>
  <c r="AR91" i="1"/>
  <c r="AR86" i="1"/>
  <c r="AR85" i="1"/>
  <c r="AR81" i="1"/>
  <c r="AR76" i="1"/>
  <c r="AR75" i="1"/>
  <c r="AR71" i="1"/>
  <c r="AR70" i="1" s="1"/>
  <c r="AS24" i="27" s="1"/>
  <c r="AR93" i="1"/>
  <c r="AR15" i="1"/>
  <c r="AR14" i="1"/>
  <c r="AR13" i="1"/>
  <c r="AR12" i="1"/>
  <c r="AR10" i="1"/>
  <c r="AR6" i="1"/>
  <c r="AR38" i="1" s="1"/>
  <c r="AQ95" i="1"/>
  <c r="AQ91" i="1"/>
  <c r="AQ86" i="1"/>
  <c r="AQ85" i="1"/>
  <c r="AQ81" i="1"/>
  <c r="AQ76" i="1"/>
  <c r="AQ75" i="1"/>
  <c r="AQ71" i="1"/>
  <c r="AQ70" i="1" s="1"/>
  <c r="AR24" i="27" s="1"/>
  <c r="AQ93" i="1"/>
  <c r="AQ15" i="1"/>
  <c r="AQ14" i="1"/>
  <c r="AQ13" i="1"/>
  <c r="AQ12" i="1"/>
  <c r="AQ10" i="1"/>
  <c r="AQ6" i="1"/>
  <c r="AQ38" i="1" s="1"/>
  <c r="AP95" i="1"/>
  <c r="AP91" i="1"/>
  <c r="AP86" i="1"/>
  <c r="AP85" i="1"/>
  <c r="AP81" i="1"/>
  <c r="AP76" i="1"/>
  <c r="AP75" i="1"/>
  <c r="AP71" i="1"/>
  <c r="AP70" i="1" s="1"/>
  <c r="AQ24" i="27" s="1"/>
  <c r="AP93" i="1"/>
  <c r="AP15" i="1"/>
  <c r="AP14" i="1"/>
  <c r="AP13" i="1"/>
  <c r="AP12" i="1"/>
  <c r="AP10" i="1"/>
  <c r="AP6" i="1"/>
  <c r="AP38" i="1" s="1"/>
  <c r="E177" i="1"/>
  <c r="T33" i="19"/>
  <c r="Z39" i="20" s="1"/>
  <c r="T32" i="19"/>
  <c r="Z38" i="20" s="1"/>
  <c r="T31" i="19"/>
  <c r="Z37" i="20" s="1"/>
  <c r="T30" i="19"/>
  <c r="Z36" i="20" s="1"/>
  <c r="T29" i="19"/>
  <c r="Z35" i="20" s="1"/>
  <c r="T28" i="19"/>
  <c r="Z34" i="20" s="1"/>
  <c r="T27" i="19"/>
  <c r="Z33" i="20" s="1"/>
  <c r="T26" i="19"/>
  <c r="Z32" i="20" s="1"/>
  <c r="CD40" i="1"/>
  <c r="CG40" i="1" s="1"/>
  <c r="CE40" i="1"/>
  <c r="CF40" i="1"/>
  <c r="CD41" i="1"/>
  <c r="CG41" i="1" s="1"/>
  <c r="CE41" i="1"/>
  <c r="CF41" i="1"/>
  <c r="CD14" i="1"/>
  <c r="CE14" i="1"/>
  <c r="CD15" i="1"/>
  <c r="CE15" i="1"/>
  <c r="CD16" i="1"/>
  <c r="CE16" i="1"/>
  <c r="CD17" i="1"/>
  <c r="CE17" i="1"/>
  <c r="CD25" i="1"/>
  <c r="CE25" i="1"/>
  <c r="CF25" i="1"/>
  <c r="CD26" i="1"/>
  <c r="CE26" i="1"/>
  <c r="CF26" i="1"/>
  <c r="CH26" i="1" s="1"/>
  <c r="CD27" i="1"/>
  <c r="CE27" i="1"/>
  <c r="CF27" i="1"/>
  <c r="CH27" i="1" s="1"/>
  <c r="CD28" i="1"/>
  <c r="CE28" i="1"/>
  <c r="CF28" i="1"/>
  <c r="CH28" i="1" s="1"/>
  <c r="CD29" i="1"/>
  <c r="CE29" i="1"/>
  <c r="CF29" i="1"/>
  <c r="CH29" i="1" s="1"/>
  <c r="CD30" i="1"/>
  <c r="CE30" i="1"/>
  <c r="CF30" i="1"/>
  <c r="CH30" i="1" s="1"/>
  <c r="CD31" i="1"/>
  <c r="CE31" i="1"/>
  <c r="CF31" i="1"/>
  <c r="CH31" i="1" s="1"/>
  <c r="CD32" i="1"/>
  <c r="CE32" i="1"/>
  <c r="CF32" i="1"/>
  <c r="CH32" i="1" s="1"/>
  <c r="CD33" i="1"/>
  <c r="CE33" i="1"/>
  <c r="CF33" i="1"/>
  <c r="CH33" i="1" s="1"/>
  <c r="CD34" i="1"/>
  <c r="CE34" i="1"/>
  <c r="CF34" i="1"/>
  <c r="CH34" i="1" s="1"/>
  <c r="CD35" i="1"/>
  <c r="CE35" i="1"/>
  <c r="CF35" i="1"/>
  <c r="CD36" i="1"/>
  <c r="CG36" i="1" s="1"/>
  <c r="CE36" i="1"/>
  <c r="CF36" i="1"/>
  <c r="CD37" i="1"/>
  <c r="CG37" i="1" s="1"/>
  <c r="CE37" i="1"/>
  <c r="CF37" i="1"/>
  <c r="CD38" i="1"/>
  <c r="CG38" i="1" s="1"/>
  <c r="CE38" i="1"/>
  <c r="CF38" i="1"/>
  <c r="CD39" i="1"/>
  <c r="CG39" i="1" s="1"/>
  <c r="CE39" i="1"/>
  <c r="CF39" i="1"/>
  <c r="CE13" i="1"/>
  <c r="CD13" i="1"/>
  <c r="CD8" i="1"/>
  <c r="CE8" i="1"/>
  <c r="CF8" i="1"/>
  <c r="CJ114" i="1" s="1"/>
  <c r="CD9" i="1"/>
  <c r="CE9" i="1"/>
  <c r="CF9" i="1"/>
  <c r="CJ115" i="1" s="1"/>
  <c r="CD10" i="1"/>
  <c r="CE10" i="1"/>
  <c r="CG10" i="1" s="1"/>
  <c r="CF10" i="1"/>
  <c r="CD11" i="1"/>
  <c r="CE11" i="1"/>
  <c r="CG11" i="1" s="1"/>
  <c r="CF11" i="1"/>
  <c r="CE7" i="1"/>
  <c r="CF7" i="1"/>
  <c r="CJ113" i="1" s="1"/>
  <c r="CD7" i="1"/>
  <c r="BW65" i="1"/>
  <c r="BX65" i="1"/>
  <c r="BW66" i="1"/>
  <c r="BX66" i="1"/>
  <c r="BW67" i="1"/>
  <c r="BX67" i="1"/>
  <c r="BW68" i="1"/>
  <c r="BX68" i="1"/>
  <c r="BZ68" i="1" s="1"/>
  <c r="BW69" i="1"/>
  <c r="BX69" i="1"/>
  <c r="BW70" i="1"/>
  <c r="BX70" i="1"/>
  <c r="BW71" i="1"/>
  <c r="BX71" i="1"/>
  <c r="BW72" i="1"/>
  <c r="BX72" i="1"/>
  <c r="BW73" i="1"/>
  <c r="BX73" i="1"/>
  <c r="BW78" i="1"/>
  <c r="BX78" i="1"/>
  <c r="BY78" i="1"/>
  <c r="BW79" i="1"/>
  <c r="BX79" i="1"/>
  <c r="BY79" i="1"/>
  <c r="CA79" i="1" s="1"/>
  <c r="BW80" i="1"/>
  <c r="BX80" i="1"/>
  <c r="BY80" i="1"/>
  <c r="CA80" i="1" s="1"/>
  <c r="BW81" i="1"/>
  <c r="BX81" i="1"/>
  <c r="BY81" i="1"/>
  <c r="CA81" i="1" s="1"/>
  <c r="BW82" i="1"/>
  <c r="BX82" i="1"/>
  <c r="BY82" i="1"/>
  <c r="CA82" i="1" s="1"/>
  <c r="BW83" i="1"/>
  <c r="BX83" i="1"/>
  <c r="BY83" i="1"/>
  <c r="CA83" i="1" s="1"/>
  <c r="BW84" i="1"/>
  <c r="BX84" i="1"/>
  <c r="BY84" i="1"/>
  <c r="CA84" i="1" s="1"/>
  <c r="BW85" i="1"/>
  <c r="BX85" i="1"/>
  <c r="BY85" i="1"/>
  <c r="CA85" i="1" s="1"/>
  <c r="BW86" i="1"/>
  <c r="BX86" i="1"/>
  <c r="BY86" i="1"/>
  <c r="CA86" i="1" s="1"/>
  <c r="BW87" i="1"/>
  <c r="BX87" i="1"/>
  <c r="BY87" i="1"/>
  <c r="CA87" i="1" s="1"/>
  <c r="BW88" i="1"/>
  <c r="BX88" i="1"/>
  <c r="BY88" i="1"/>
  <c r="CA88" i="1" s="1"/>
  <c r="BW89" i="1"/>
  <c r="BX89" i="1"/>
  <c r="BY89" i="1"/>
  <c r="BW90" i="1"/>
  <c r="BZ90" i="1" s="1"/>
  <c r="BY90" i="1"/>
  <c r="BW91" i="1"/>
  <c r="BZ91" i="1" s="1"/>
  <c r="BY91" i="1"/>
  <c r="BW92" i="1"/>
  <c r="BZ92" i="1" s="1"/>
  <c r="BY92" i="1"/>
  <c r="BW93" i="1"/>
  <c r="BZ93" i="1" s="1"/>
  <c r="BY93" i="1"/>
  <c r="BW94" i="1"/>
  <c r="BZ94" i="1" s="1"/>
  <c r="BY94" i="1"/>
  <c r="BW95" i="1"/>
  <c r="BZ95" i="1" s="1"/>
  <c r="BY95" i="1"/>
  <c r="BW96" i="1"/>
  <c r="BZ96" i="1" s="1"/>
  <c r="BY96" i="1"/>
  <c r="BW97" i="1"/>
  <c r="BZ97" i="1" s="1"/>
  <c r="BY97" i="1"/>
  <c r="BX64" i="1"/>
  <c r="BW64" i="1"/>
  <c r="BX58" i="1"/>
  <c r="BY58" i="1"/>
  <c r="CD127" i="1" s="1"/>
  <c r="BX59" i="1"/>
  <c r="BY59" i="1"/>
  <c r="CD128" i="1" s="1"/>
  <c r="BX60" i="1"/>
  <c r="BY60" i="1"/>
  <c r="CD129" i="1" s="1"/>
  <c r="BX61" i="1"/>
  <c r="BZ61" i="1" s="1"/>
  <c r="BY61" i="1"/>
  <c r="BX62" i="1"/>
  <c r="BZ62" i="1" s="1"/>
  <c r="BY62" i="1"/>
  <c r="BW59" i="1"/>
  <c r="BW60" i="1"/>
  <c r="BW61" i="1"/>
  <c r="BW62" i="1"/>
  <c r="BW58" i="1"/>
  <c r="BW14" i="1"/>
  <c r="BX14" i="1"/>
  <c r="CA14" i="1"/>
  <c r="BW15" i="1"/>
  <c r="BX15" i="1"/>
  <c r="CA15" i="1"/>
  <c r="BW16" i="1"/>
  <c r="BX16" i="1"/>
  <c r="CA16" i="1"/>
  <c r="BW17" i="1"/>
  <c r="BX17" i="1"/>
  <c r="CA17" i="1"/>
  <c r="BW18" i="1"/>
  <c r="BX18" i="1"/>
  <c r="CA18" i="1"/>
  <c r="BW19" i="1"/>
  <c r="BX19" i="1"/>
  <c r="CA19" i="1"/>
  <c r="BW28" i="1"/>
  <c r="BX28" i="1"/>
  <c r="BY28" i="1"/>
  <c r="CA28" i="1" s="1"/>
  <c r="BW29" i="1"/>
  <c r="BX29" i="1"/>
  <c r="BY29" i="1"/>
  <c r="CA29" i="1" s="1"/>
  <c r="BW30" i="1"/>
  <c r="BX30" i="1"/>
  <c r="BY30" i="1"/>
  <c r="CA30" i="1" s="1"/>
  <c r="BW31" i="1"/>
  <c r="BX31" i="1"/>
  <c r="BY31" i="1"/>
  <c r="CA31" i="1" s="1"/>
  <c r="BW32" i="1"/>
  <c r="BX32" i="1"/>
  <c r="BY32" i="1"/>
  <c r="CA32" i="1" s="1"/>
  <c r="BW33" i="1"/>
  <c r="BX33" i="1"/>
  <c r="BY33" i="1"/>
  <c r="CA33" i="1" s="1"/>
  <c r="BW34" i="1"/>
  <c r="BX34" i="1"/>
  <c r="BY34" i="1"/>
  <c r="CA34" i="1" s="1"/>
  <c r="BW35" i="1"/>
  <c r="BX35" i="1"/>
  <c r="BY35" i="1"/>
  <c r="CA35" i="1" s="1"/>
  <c r="BW36" i="1"/>
  <c r="BX36" i="1"/>
  <c r="BY36" i="1"/>
  <c r="CA36" i="1" s="1"/>
  <c r="BW37" i="1"/>
  <c r="BX37" i="1"/>
  <c r="BY37" i="1"/>
  <c r="BW38" i="1"/>
  <c r="BZ38" i="1" s="1"/>
  <c r="BX38" i="1"/>
  <c r="BY38" i="1"/>
  <c r="BX13" i="1"/>
  <c r="CA13" i="1"/>
  <c r="BW13" i="1"/>
  <c r="BW8" i="1"/>
  <c r="BX8" i="1"/>
  <c r="BY8" i="1"/>
  <c r="CJ128" i="1" s="1"/>
  <c r="BW9" i="1"/>
  <c r="BX9" i="1"/>
  <c r="BY9" i="1"/>
  <c r="CJ129" i="1" s="1"/>
  <c r="BW10" i="1"/>
  <c r="BX10" i="1"/>
  <c r="BZ10" i="1" s="1"/>
  <c r="BY10" i="1"/>
  <c r="BW11" i="1"/>
  <c r="BX11" i="1"/>
  <c r="BZ11" i="1" s="1"/>
  <c r="BY11" i="1"/>
  <c r="BY7" i="1"/>
  <c r="CJ127" i="1" s="1"/>
  <c r="BX7" i="1"/>
  <c r="BW7" i="1"/>
  <c r="BP68" i="1"/>
  <c r="BQ68" i="1"/>
  <c r="BT68" i="1"/>
  <c r="BP69" i="1"/>
  <c r="BQ69" i="1"/>
  <c r="BT69" i="1"/>
  <c r="BP70" i="1"/>
  <c r="BQ70" i="1"/>
  <c r="BT70" i="1"/>
  <c r="BP71" i="1"/>
  <c r="BQ71" i="1"/>
  <c r="BT71" i="1"/>
  <c r="BP72" i="1"/>
  <c r="BQ72" i="1"/>
  <c r="BT72" i="1"/>
  <c r="BP73" i="1"/>
  <c r="BQ73" i="1"/>
  <c r="BT73" i="1"/>
  <c r="BP74" i="1"/>
  <c r="BQ74" i="1"/>
  <c r="BT74" i="1"/>
  <c r="BP75" i="1"/>
  <c r="BQ75" i="1"/>
  <c r="BT75" i="1"/>
  <c r="BP81" i="1"/>
  <c r="BR81" i="1"/>
  <c r="BT81" i="1" s="1"/>
  <c r="BP82" i="1"/>
  <c r="BR82" i="1"/>
  <c r="BT82" i="1" s="1"/>
  <c r="BP83" i="1"/>
  <c r="BR83" i="1"/>
  <c r="BT83" i="1" s="1"/>
  <c r="BP84" i="1"/>
  <c r="BR84" i="1"/>
  <c r="BT84" i="1" s="1"/>
  <c r="BP85" i="1"/>
  <c r="BR85" i="1"/>
  <c r="BT85" i="1" s="1"/>
  <c r="BP86" i="1"/>
  <c r="BR86" i="1"/>
  <c r="BT86" i="1" s="1"/>
  <c r="BP87" i="1"/>
  <c r="BR87" i="1"/>
  <c r="BT87" i="1" s="1"/>
  <c r="BP88" i="1"/>
  <c r="BR88" i="1"/>
  <c r="BT88" i="1" s="1"/>
  <c r="BP89" i="1"/>
  <c r="BR89" i="1"/>
  <c r="BT89" i="1" s="1"/>
  <c r="BP90" i="1"/>
  <c r="BQ90" i="1"/>
  <c r="BR90" i="1"/>
  <c r="BR91" i="1"/>
  <c r="BR92" i="1"/>
  <c r="BR93" i="1"/>
  <c r="BR94" i="1"/>
  <c r="BR95" i="1"/>
  <c r="BR96" i="1"/>
  <c r="BR97" i="1"/>
  <c r="BR98" i="1"/>
  <c r="BR99" i="1"/>
  <c r="BT67" i="1"/>
  <c r="BQ67" i="1"/>
  <c r="BP67" i="1"/>
  <c r="BQ61" i="1"/>
  <c r="BR61" i="1"/>
  <c r="CD141" i="1" s="1"/>
  <c r="BQ62" i="1"/>
  <c r="BR62" i="1"/>
  <c r="CD142" i="1" s="1"/>
  <c r="BQ63" i="1"/>
  <c r="BR63" i="1"/>
  <c r="CD143" i="1" s="1"/>
  <c r="BQ64" i="1"/>
  <c r="BS64" i="1" s="1"/>
  <c r="BR64" i="1"/>
  <c r="BQ65" i="1"/>
  <c r="BS65" i="1" s="1"/>
  <c r="BR65" i="1"/>
  <c r="BP62" i="1"/>
  <c r="BP63" i="1"/>
  <c r="BP64" i="1"/>
  <c r="BP65" i="1"/>
  <c r="BP61" i="1"/>
  <c r="BP45" i="1"/>
  <c r="BS45" i="1" s="1"/>
  <c r="BT45" i="1" s="1"/>
  <c r="BP46" i="1"/>
  <c r="BS46" i="1" s="1"/>
  <c r="BT46" i="1" s="1"/>
  <c r="BP47" i="1"/>
  <c r="BS47" i="1" s="1"/>
  <c r="BT47" i="1" s="1"/>
  <c r="BP40" i="1"/>
  <c r="BS40" i="1" s="1"/>
  <c r="BR40" i="1"/>
  <c r="BP41" i="1"/>
  <c r="BS41" i="1" s="1"/>
  <c r="BP42" i="1"/>
  <c r="BS42" i="1" s="1"/>
  <c r="BT42" i="1" s="1"/>
  <c r="BP43" i="1"/>
  <c r="BS43" i="1" s="1"/>
  <c r="BT43" i="1" s="1"/>
  <c r="BP44" i="1"/>
  <c r="BS44" i="1" s="1"/>
  <c r="BT44" i="1" s="1"/>
  <c r="BP38" i="1"/>
  <c r="BQ38" i="1"/>
  <c r="BR38" i="1"/>
  <c r="BT38" i="1" s="1"/>
  <c r="BP39" i="1"/>
  <c r="BQ39" i="1"/>
  <c r="BR39" i="1"/>
  <c r="BP14" i="1"/>
  <c r="BQ14" i="1"/>
  <c r="BT14" i="1"/>
  <c r="BP15" i="1"/>
  <c r="BQ15" i="1"/>
  <c r="BT15" i="1"/>
  <c r="BP16" i="1"/>
  <c r="BQ16" i="1"/>
  <c r="BT16" i="1"/>
  <c r="BP17" i="1"/>
  <c r="BQ17" i="1"/>
  <c r="BT17" i="1"/>
  <c r="BP18" i="1"/>
  <c r="BQ18" i="1"/>
  <c r="BT18" i="1"/>
  <c r="BP19" i="1"/>
  <c r="BQ19" i="1"/>
  <c r="BT19" i="1"/>
  <c r="BP20" i="1"/>
  <c r="BQ20" i="1"/>
  <c r="BT20" i="1"/>
  <c r="BP21" i="1"/>
  <c r="BQ21" i="1"/>
  <c r="BT21" i="1"/>
  <c r="BP22" i="1"/>
  <c r="BQ22" i="1"/>
  <c r="BT22" i="1"/>
  <c r="BP23" i="1"/>
  <c r="BQ23" i="1"/>
  <c r="BT23" i="1"/>
  <c r="BP29" i="1"/>
  <c r="BQ29" i="1"/>
  <c r="BR29" i="1"/>
  <c r="BP30" i="1"/>
  <c r="BR30" i="1"/>
  <c r="BT30" i="1" s="1"/>
  <c r="BP31" i="1"/>
  <c r="BQ31" i="1"/>
  <c r="BR31" i="1"/>
  <c r="BT31" i="1" s="1"/>
  <c r="BP32" i="1"/>
  <c r="BQ32" i="1"/>
  <c r="BR32" i="1"/>
  <c r="BT32" i="1" s="1"/>
  <c r="BP33" i="1"/>
  <c r="BQ33" i="1"/>
  <c r="BR33" i="1"/>
  <c r="BT33" i="1" s="1"/>
  <c r="BP34" i="1"/>
  <c r="BQ34" i="1"/>
  <c r="BR34" i="1"/>
  <c r="BT34" i="1" s="1"/>
  <c r="BP35" i="1"/>
  <c r="BQ35" i="1"/>
  <c r="BR35" i="1"/>
  <c r="BT35" i="1" s="1"/>
  <c r="BP36" i="1"/>
  <c r="BQ36" i="1"/>
  <c r="BR36" i="1"/>
  <c r="BT36" i="1" s="1"/>
  <c r="BP37" i="1"/>
  <c r="BQ37" i="1"/>
  <c r="BR37" i="1"/>
  <c r="BT37" i="1" s="1"/>
  <c r="BQ13" i="1"/>
  <c r="BT13" i="1"/>
  <c r="BP13" i="1"/>
  <c r="BQ7" i="1"/>
  <c r="BR7" i="1"/>
  <c r="CD113" i="1" s="1"/>
  <c r="BQ8" i="1"/>
  <c r="BR8" i="1"/>
  <c r="CD114" i="1" s="1"/>
  <c r="BQ9" i="1"/>
  <c r="BR9" i="1"/>
  <c r="CD115" i="1" s="1"/>
  <c r="BQ10" i="1"/>
  <c r="BS10" i="1" s="1"/>
  <c r="BR10" i="1"/>
  <c r="BQ11" i="1"/>
  <c r="BS11" i="1" s="1"/>
  <c r="BR11" i="1"/>
  <c r="BP8" i="1"/>
  <c r="BP9" i="1"/>
  <c r="BP10" i="1"/>
  <c r="BP11" i="1"/>
  <c r="BP7" i="1"/>
  <c r="BH89" i="1"/>
  <c r="BK89" i="1" s="1"/>
  <c r="BI89" i="1"/>
  <c r="BJ89" i="1"/>
  <c r="BH90" i="1"/>
  <c r="BK90" i="1" s="1"/>
  <c r="BI90" i="1"/>
  <c r="BJ90" i="1"/>
  <c r="BH88" i="1"/>
  <c r="BK88" i="1" s="1"/>
  <c r="BI88" i="1"/>
  <c r="BJ88" i="1"/>
  <c r="BH85" i="1"/>
  <c r="BK85" i="1" s="1"/>
  <c r="BI85" i="1"/>
  <c r="BJ85" i="1"/>
  <c r="BH86" i="1"/>
  <c r="BK86" i="1" s="1"/>
  <c r="BI86" i="1"/>
  <c r="BJ86" i="1"/>
  <c r="BH87" i="1"/>
  <c r="BK87" i="1" s="1"/>
  <c r="BI87" i="1"/>
  <c r="BJ87" i="1"/>
  <c r="BH80" i="1"/>
  <c r="BI80" i="1"/>
  <c r="BJ80" i="1"/>
  <c r="BL80" i="1" s="1"/>
  <c r="BH81" i="1"/>
  <c r="BI81" i="1"/>
  <c r="BJ81" i="1"/>
  <c r="BL81" i="1" s="1"/>
  <c r="BH82" i="1"/>
  <c r="BI82" i="1"/>
  <c r="BJ82" i="1"/>
  <c r="BH83" i="1"/>
  <c r="BK83" i="1" s="1"/>
  <c r="BI83" i="1"/>
  <c r="BJ83" i="1"/>
  <c r="BH84" i="1"/>
  <c r="BK84" i="1" s="1"/>
  <c r="BI84" i="1"/>
  <c r="BJ84" i="1"/>
  <c r="BH78" i="1"/>
  <c r="BI78" i="1"/>
  <c r="BJ78" i="1"/>
  <c r="BL78" i="1" s="1"/>
  <c r="BH79" i="1"/>
  <c r="BI79" i="1"/>
  <c r="BJ79" i="1"/>
  <c r="BL79" i="1" s="1"/>
  <c r="BH58" i="1"/>
  <c r="BI58" i="1"/>
  <c r="BL58" i="1"/>
  <c r="BH59" i="1"/>
  <c r="BI59" i="1"/>
  <c r="BL59" i="1"/>
  <c r="BH60" i="1"/>
  <c r="BI60" i="1"/>
  <c r="BL60" i="1"/>
  <c r="BH61" i="1"/>
  <c r="BI61" i="1"/>
  <c r="BL61" i="1"/>
  <c r="BH62" i="1"/>
  <c r="BI62" i="1"/>
  <c r="BL62" i="1"/>
  <c r="BH63" i="1"/>
  <c r="BI63" i="1"/>
  <c r="BL63" i="1"/>
  <c r="BH64" i="1"/>
  <c r="BI64" i="1"/>
  <c r="BL64" i="1"/>
  <c r="BH65" i="1"/>
  <c r="BI65" i="1"/>
  <c r="BL65" i="1"/>
  <c r="BH66" i="1"/>
  <c r="BI66" i="1"/>
  <c r="BL66" i="1"/>
  <c r="BH71" i="1"/>
  <c r="BI71" i="1"/>
  <c r="BJ71" i="1"/>
  <c r="BH72" i="1"/>
  <c r="BI72" i="1"/>
  <c r="BJ72" i="1"/>
  <c r="BL72" i="1" s="1"/>
  <c r="BH73" i="1"/>
  <c r="BI73" i="1"/>
  <c r="BJ73" i="1"/>
  <c r="BL73" i="1" s="1"/>
  <c r="BH74" i="1"/>
  <c r="BI74" i="1"/>
  <c r="BJ74" i="1"/>
  <c r="BL74" i="1" s="1"/>
  <c r="BH75" i="1"/>
  <c r="BI75" i="1"/>
  <c r="BJ75" i="1"/>
  <c r="BL75" i="1" s="1"/>
  <c r="BH76" i="1"/>
  <c r="BI76" i="1"/>
  <c r="BJ76" i="1"/>
  <c r="BL76" i="1" s="1"/>
  <c r="BH77" i="1"/>
  <c r="BI77" i="1"/>
  <c r="BJ77" i="1"/>
  <c r="BL77" i="1" s="1"/>
  <c r="BI57" i="1"/>
  <c r="BL57" i="1"/>
  <c r="BH57" i="1"/>
  <c r="BI51" i="1"/>
  <c r="BJ51" i="1"/>
  <c r="BX127" i="1" s="1"/>
  <c r="BI52" i="1"/>
  <c r="BJ52" i="1"/>
  <c r="BX128" i="1" s="1"/>
  <c r="BI53" i="1"/>
  <c r="BJ53" i="1"/>
  <c r="BX129" i="1" s="1"/>
  <c r="BI54" i="1"/>
  <c r="BK54" i="1" s="1"/>
  <c r="BJ54" i="1"/>
  <c r="BI55" i="1"/>
  <c r="BK55" i="1" s="1"/>
  <c r="BJ55" i="1"/>
  <c r="BH52" i="1"/>
  <c r="BH53" i="1"/>
  <c r="BH54" i="1"/>
  <c r="BH55" i="1"/>
  <c r="BH51" i="1"/>
  <c r="BI7" i="1"/>
  <c r="BJ7" i="1"/>
  <c r="BX113" i="1" s="1"/>
  <c r="BI8" i="1"/>
  <c r="BJ8" i="1"/>
  <c r="BX114" i="1" s="1"/>
  <c r="BI9" i="1"/>
  <c r="BJ9" i="1"/>
  <c r="BX115" i="1" s="1"/>
  <c r="BI10" i="1"/>
  <c r="BK10" i="1" s="1"/>
  <c r="BJ10" i="1"/>
  <c r="BI11" i="1"/>
  <c r="BK11" i="1" s="1"/>
  <c r="BJ11" i="1"/>
  <c r="BL14" i="1"/>
  <c r="BL15" i="1"/>
  <c r="BL16" i="1"/>
  <c r="BL17" i="1"/>
  <c r="BL18" i="1"/>
  <c r="BL19" i="1"/>
  <c r="BL20" i="1"/>
  <c r="BL21" i="1"/>
  <c r="BL22" i="1"/>
  <c r="BJ26" i="1"/>
  <c r="BL27" i="1"/>
  <c r="BL28" i="1"/>
  <c r="BL29" i="1"/>
  <c r="BL30" i="1"/>
  <c r="BL31" i="1"/>
  <c r="BL32" i="1"/>
  <c r="BL33" i="1"/>
  <c r="BL34" i="1"/>
  <c r="BL35" i="1"/>
  <c r="BJ36" i="1"/>
  <c r="BJ37" i="1"/>
  <c r="BJ38" i="1"/>
  <c r="BJ39" i="1"/>
  <c r="BJ40" i="1"/>
  <c r="BJ41" i="1"/>
  <c r="BJ42" i="1"/>
  <c r="BI13" i="1"/>
  <c r="BI14" i="1"/>
  <c r="BI15" i="1"/>
  <c r="BI16" i="1"/>
  <c r="BI17" i="1"/>
  <c r="BI18" i="1"/>
  <c r="BI19" i="1"/>
  <c r="BI20" i="1"/>
  <c r="BI21" i="1"/>
  <c r="BI22" i="1"/>
  <c r="BI26" i="1"/>
  <c r="BI36" i="1"/>
  <c r="BH41" i="1"/>
  <c r="BK41" i="1" s="1"/>
  <c r="BH42" i="1"/>
  <c r="BK42" i="1" s="1"/>
  <c r="BH14" i="1"/>
  <c r="BH15" i="1"/>
  <c r="BH16" i="1"/>
  <c r="BH17" i="1"/>
  <c r="BH18" i="1"/>
  <c r="BH19" i="1"/>
  <c r="BH20" i="1"/>
  <c r="BH21" i="1"/>
  <c r="BH22" i="1"/>
  <c r="BH26" i="1"/>
  <c r="BH27" i="1"/>
  <c r="BH36" i="1"/>
  <c r="BH37" i="1"/>
  <c r="BK37" i="1" s="1"/>
  <c r="BH38" i="1"/>
  <c r="BK38" i="1" s="1"/>
  <c r="BH39" i="1"/>
  <c r="BK39" i="1" s="1"/>
  <c r="BH40" i="1"/>
  <c r="BK40" i="1" s="1"/>
  <c r="BH13" i="1"/>
  <c r="BH8" i="1"/>
  <c r="BH9" i="1"/>
  <c r="BH10" i="1"/>
  <c r="BH11" i="1"/>
  <c r="BH7" i="1"/>
  <c r="E504" i="1"/>
  <c r="E467" i="1"/>
  <c r="E497" i="1"/>
  <c r="E460" i="1"/>
  <c r="E494" i="1"/>
  <c r="E484" i="1"/>
  <c r="E482" i="1"/>
  <c r="E483" i="1"/>
  <c r="E457" i="1"/>
  <c r="E477" i="1"/>
  <c r="E440" i="1"/>
  <c r="E478" i="1"/>
  <c r="E441" i="1"/>
  <c r="G33" i="19"/>
  <c r="G32" i="19"/>
  <c r="G31" i="19"/>
  <c r="G30" i="19"/>
  <c r="G29" i="19"/>
  <c r="G28" i="19"/>
  <c r="G27" i="19"/>
  <c r="G26" i="19"/>
  <c r="G25" i="19"/>
  <c r="G24" i="19"/>
  <c r="G23" i="19"/>
  <c r="G22" i="19"/>
  <c r="G21" i="19"/>
  <c r="G20" i="19"/>
  <c r="G19" i="19"/>
  <c r="G18" i="19"/>
  <c r="G17" i="19"/>
  <c r="G16" i="19"/>
  <c r="G15" i="19"/>
  <c r="G14" i="19"/>
  <c r="Z52" i="19"/>
  <c r="Z51" i="19"/>
  <c r="Z50" i="19"/>
  <c r="Z49" i="19"/>
  <c r="Z48" i="19"/>
  <c r="Z47" i="19"/>
  <c r="Z46" i="19"/>
  <c r="Z45" i="19"/>
  <c r="Z44" i="19"/>
  <c r="Z43" i="19"/>
  <c r="Z42" i="19"/>
  <c r="Z41" i="19"/>
  <c r="Z40" i="19"/>
  <c r="Z39" i="19"/>
  <c r="Z38" i="19"/>
  <c r="Z37" i="19"/>
  <c r="Z32" i="19"/>
  <c r="Z31" i="19"/>
  <c r="Z30" i="19"/>
  <c r="Z29" i="19"/>
  <c r="Z28" i="19"/>
  <c r="Z27" i="19"/>
  <c r="Z26" i="19"/>
  <c r="Z25" i="19"/>
  <c r="Z24" i="19"/>
  <c r="Z23" i="19"/>
  <c r="Z22" i="19"/>
  <c r="Z21" i="19"/>
  <c r="Z20" i="19"/>
  <c r="Z19" i="19"/>
  <c r="Z18" i="19"/>
  <c r="Z17" i="19"/>
  <c r="Z16" i="19"/>
  <c r="Z14" i="19"/>
  <c r="T25" i="19"/>
  <c r="Z31" i="20" s="1"/>
  <c r="T24" i="19"/>
  <c r="Z30" i="20" s="1"/>
  <c r="T23" i="19"/>
  <c r="Z29" i="20" s="1"/>
  <c r="T22" i="19"/>
  <c r="Z28" i="20" s="1"/>
  <c r="T21" i="19"/>
  <c r="Z27" i="20" s="1"/>
  <c r="T20" i="19"/>
  <c r="Z26" i="20" s="1"/>
  <c r="T19" i="19"/>
  <c r="Z25" i="20" s="1"/>
  <c r="T18" i="19"/>
  <c r="Z24" i="20" s="1"/>
  <c r="T17" i="19"/>
  <c r="Z23" i="20" s="1"/>
  <c r="Z22" i="20"/>
  <c r="T15" i="19"/>
  <c r="Z21" i="20" s="1"/>
  <c r="T14" i="19"/>
  <c r="Z20" i="20" s="1"/>
  <c r="Z15" i="19"/>
  <c r="Q33" i="19"/>
  <c r="Y39" i="20" s="1"/>
  <c r="Q32" i="19"/>
  <c r="Y38" i="20" s="1"/>
  <c r="Q31" i="19"/>
  <c r="Y37" i="20" s="1"/>
  <c r="Q30" i="19"/>
  <c r="Y36" i="20" s="1"/>
  <c r="Q29" i="19"/>
  <c r="Y35" i="20" s="1"/>
  <c r="Q28" i="19"/>
  <c r="Y34" i="20" s="1"/>
  <c r="Q27" i="19"/>
  <c r="Y33" i="20" s="1"/>
  <c r="Q26" i="19"/>
  <c r="Y32" i="20" s="1"/>
  <c r="Q25" i="19"/>
  <c r="Y31" i="20" s="1"/>
  <c r="Q24" i="19"/>
  <c r="Y30" i="20" s="1"/>
  <c r="Q23" i="19"/>
  <c r="Y29" i="20" s="1"/>
  <c r="Q22" i="19"/>
  <c r="Y28" i="20" s="1"/>
  <c r="Q21" i="19"/>
  <c r="Y27" i="20" s="1"/>
  <c r="Q20" i="19"/>
  <c r="Y26" i="20" s="1"/>
  <c r="Q19" i="19"/>
  <c r="Y25" i="20" s="1"/>
  <c r="Q18" i="19"/>
  <c r="Y24" i="20" s="1"/>
  <c r="Q17" i="19"/>
  <c r="Y23" i="20" s="1"/>
  <c r="Q16" i="19"/>
  <c r="Y22" i="20" s="1"/>
  <c r="Q15" i="19"/>
  <c r="Y21" i="20" s="1"/>
  <c r="Q14" i="19"/>
  <c r="Y20" i="20" s="1"/>
  <c r="G53" i="19"/>
  <c r="G52" i="19"/>
  <c r="G51" i="19"/>
  <c r="G50" i="19"/>
  <c r="G49" i="19"/>
  <c r="G48" i="19"/>
  <c r="G47" i="19"/>
  <c r="G46" i="19"/>
  <c r="G45" i="19"/>
  <c r="G44" i="19"/>
  <c r="G43" i="19"/>
  <c r="G42" i="19"/>
  <c r="G41" i="19"/>
  <c r="G40" i="19"/>
  <c r="G39" i="19"/>
  <c r="G38" i="19"/>
  <c r="G37" i="19"/>
  <c r="E52" i="19"/>
  <c r="E51" i="19"/>
  <c r="E50" i="19"/>
  <c r="E37" i="19"/>
  <c r="H61" i="20"/>
  <c r="D53" i="19"/>
  <c r="H60" i="20" s="1"/>
  <c r="D52" i="19"/>
  <c r="H59" i="20" s="1"/>
  <c r="D51" i="19"/>
  <c r="H58" i="20" s="1"/>
  <c r="D50" i="19"/>
  <c r="H57" i="20" s="1"/>
  <c r="D49" i="19"/>
  <c r="H56" i="20" s="1"/>
  <c r="D48" i="19"/>
  <c r="H55" i="20" s="1"/>
  <c r="D47" i="19"/>
  <c r="H54" i="20" s="1"/>
  <c r="D46" i="19"/>
  <c r="H53" i="20" s="1"/>
  <c r="D45" i="19"/>
  <c r="H52" i="20" s="1"/>
  <c r="D44" i="19"/>
  <c r="H51" i="20" s="1"/>
  <c r="D43" i="19"/>
  <c r="H50" i="20" s="1"/>
  <c r="D42" i="19"/>
  <c r="H49" i="20" s="1"/>
  <c r="D41" i="19"/>
  <c r="H48" i="20" s="1"/>
  <c r="D40" i="19"/>
  <c r="H47" i="20" s="1"/>
  <c r="D39" i="19"/>
  <c r="H46" i="20" s="1"/>
  <c r="D38" i="19"/>
  <c r="H45" i="20" s="1"/>
  <c r="D37" i="19"/>
  <c r="H44" i="20" s="1"/>
  <c r="E218" i="1"/>
  <c r="E148" i="1"/>
  <c r="E131" i="1"/>
  <c r="E132" i="1"/>
  <c r="E189" i="1"/>
  <c r="E377" i="1"/>
  <c r="E300" i="1"/>
  <c r="E291" i="1"/>
  <c r="E333" i="1"/>
  <c r="BZ72" i="1" l="1"/>
  <c r="CG14" i="1"/>
  <c r="AT3" i="27"/>
  <c r="AQ27" i="27" s="1"/>
  <c r="BZ66" i="1"/>
  <c r="CG13" i="1"/>
  <c r="CG16" i="1"/>
  <c r="BZ70" i="1"/>
  <c r="CA70" i="1" s="1"/>
  <c r="BZ73" i="1"/>
  <c r="BZ64" i="1"/>
  <c r="CA64" i="1" s="1"/>
  <c r="BZ71" i="1"/>
  <c r="CA71" i="1" s="1"/>
  <c r="BZ69" i="1"/>
  <c r="CA69" i="1" s="1"/>
  <c r="BZ67" i="1"/>
  <c r="CA67" i="1" s="1"/>
  <c r="BZ65" i="1"/>
  <c r="CA65" i="1" s="1"/>
  <c r="CG17" i="1"/>
  <c r="CH17" i="1" s="1"/>
  <c r="CG15" i="1"/>
  <c r="CH15" i="1" s="1"/>
  <c r="O163" i="27"/>
  <c r="R163" i="27" s="1"/>
  <c r="AT4" i="27"/>
  <c r="AT6" i="27" s="1"/>
  <c r="BH97" i="1"/>
  <c r="BJ97" i="1" s="1"/>
  <c r="BL97" i="1" s="1"/>
  <c r="BJ100" i="1"/>
  <c r="BL100" i="1" s="1"/>
  <c r="BJ104" i="1"/>
  <c r="BL104" i="1" s="1"/>
  <c r="BJ102" i="1"/>
  <c r="BL102" i="1" s="1"/>
  <c r="BJ103" i="1"/>
  <c r="BL103" i="1" s="1"/>
  <c r="BJ101" i="1"/>
  <c r="BL101" i="1" s="1"/>
  <c r="BJ105" i="1"/>
  <c r="BL105" i="1" s="1"/>
  <c r="BJ98" i="1"/>
  <c r="BL98" i="1" s="1"/>
  <c r="BJ106" i="1"/>
  <c r="BL106" i="1" s="1"/>
  <c r="BJ99" i="1"/>
  <c r="BL99" i="1" s="1"/>
  <c r="BJ120" i="1"/>
  <c r="BL120" i="1" s="1"/>
  <c r="BJ124" i="1"/>
  <c r="BL124" i="1" s="1"/>
  <c r="BJ118" i="1"/>
  <c r="BL118" i="1" s="1"/>
  <c r="BJ126" i="1"/>
  <c r="BL126" i="1" s="1"/>
  <c r="BJ123" i="1"/>
  <c r="BL123" i="1" s="1"/>
  <c r="BJ121" i="1"/>
  <c r="BL121" i="1" s="1"/>
  <c r="BJ125" i="1"/>
  <c r="BL125" i="1" s="1"/>
  <c r="BJ122" i="1"/>
  <c r="BL122" i="1" s="1"/>
  <c r="BJ119" i="1"/>
  <c r="BL119" i="1" s="1"/>
  <c r="BH137" i="1"/>
  <c r="BJ137" i="1" s="1"/>
  <c r="BL137" i="1" s="1"/>
  <c r="BJ140" i="1"/>
  <c r="BL140" i="1" s="1"/>
  <c r="BJ144" i="1"/>
  <c r="BL144" i="1" s="1"/>
  <c r="BJ142" i="1"/>
  <c r="BL142" i="1" s="1"/>
  <c r="BJ143" i="1"/>
  <c r="BL143" i="1" s="1"/>
  <c r="BJ141" i="1"/>
  <c r="BL141" i="1" s="1"/>
  <c r="BJ145" i="1"/>
  <c r="BL145" i="1" s="1"/>
  <c r="BJ138" i="1"/>
  <c r="BL138" i="1" s="1"/>
  <c r="BJ146" i="1"/>
  <c r="BL146" i="1" s="1"/>
  <c r="BJ139" i="1"/>
  <c r="BL139" i="1" s="1"/>
  <c r="BJ160" i="1"/>
  <c r="BL160" i="1" s="1"/>
  <c r="BJ164" i="1"/>
  <c r="BL164" i="1" s="1"/>
  <c r="BJ159" i="1"/>
  <c r="BL159" i="1" s="1"/>
  <c r="BJ163" i="1"/>
  <c r="BL163" i="1" s="1"/>
  <c r="BJ161" i="1"/>
  <c r="BL161" i="1" s="1"/>
  <c r="BJ165" i="1"/>
  <c r="BL165" i="1" s="1"/>
  <c r="BJ158" i="1"/>
  <c r="BL158" i="1" s="1"/>
  <c r="BJ162" i="1"/>
  <c r="BL162" i="1" s="1"/>
  <c r="BJ166" i="1"/>
  <c r="BL166" i="1" s="1"/>
  <c r="BH107" i="1"/>
  <c r="BJ107" i="1" s="1"/>
  <c r="BL107" i="1" s="1"/>
  <c r="BJ108" i="1"/>
  <c r="BL108" i="1" s="1"/>
  <c r="BJ112" i="1"/>
  <c r="BL112" i="1" s="1"/>
  <c r="BJ116" i="1"/>
  <c r="BL116" i="1" s="1"/>
  <c r="BJ114" i="1"/>
  <c r="BL114" i="1" s="1"/>
  <c r="BJ111" i="1"/>
  <c r="BL111" i="1" s="1"/>
  <c r="BJ115" i="1"/>
  <c r="BL115" i="1" s="1"/>
  <c r="BJ109" i="1"/>
  <c r="BL109" i="1" s="1"/>
  <c r="BJ113" i="1"/>
  <c r="BL113" i="1" s="1"/>
  <c r="BJ110" i="1"/>
  <c r="BL110" i="1" s="1"/>
  <c r="BH127" i="1"/>
  <c r="BJ127" i="1" s="1"/>
  <c r="BL127" i="1" s="1"/>
  <c r="BJ128" i="1"/>
  <c r="BL128" i="1" s="1"/>
  <c r="BJ132" i="1"/>
  <c r="BL132" i="1" s="1"/>
  <c r="BJ136" i="1"/>
  <c r="BL136" i="1" s="1"/>
  <c r="BJ130" i="1"/>
  <c r="BL130" i="1" s="1"/>
  <c r="BJ131" i="1"/>
  <c r="BL131" i="1" s="1"/>
  <c r="BJ135" i="1"/>
  <c r="BL135" i="1" s="1"/>
  <c r="BJ129" i="1"/>
  <c r="BL129" i="1" s="1"/>
  <c r="BJ133" i="1"/>
  <c r="BL133" i="1" s="1"/>
  <c r="BJ134" i="1"/>
  <c r="BL134" i="1" s="1"/>
  <c r="BH147" i="1"/>
  <c r="BJ147" i="1" s="1"/>
  <c r="BL147" i="1" s="1"/>
  <c r="BJ148" i="1"/>
  <c r="BL148" i="1" s="1"/>
  <c r="BJ152" i="1"/>
  <c r="BL152" i="1" s="1"/>
  <c r="BJ156" i="1"/>
  <c r="BL156" i="1" s="1"/>
  <c r="BJ150" i="1"/>
  <c r="BL150" i="1" s="1"/>
  <c r="BJ151" i="1"/>
  <c r="BL151" i="1" s="1"/>
  <c r="BJ155" i="1"/>
  <c r="BL155" i="1" s="1"/>
  <c r="BJ149" i="1"/>
  <c r="BL149" i="1" s="1"/>
  <c r="BJ153" i="1"/>
  <c r="BL153" i="1" s="1"/>
  <c r="BJ154" i="1"/>
  <c r="BL154" i="1" s="1"/>
  <c r="H43" i="20"/>
  <c r="M43" i="20"/>
  <c r="M62" i="20"/>
  <c r="J62" i="20"/>
  <c r="K62" i="20"/>
  <c r="M63" i="20"/>
  <c r="J63" i="20"/>
  <c r="L63" i="20" s="1"/>
  <c r="AB63" i="20" s="1"/>
  <c r="K63" i="20"/>
  <c r="BK8" i="1"/>
  <c r="BL8" i="1" s="1"/>
  <c r="BW114" i="1"/>
  <c r="BY114" i="1" s="1"/>
  <c r="BZ114" i="1" s="1"/>
  <c r="BK51" i="1"/>
  <c r="BL51" i="1" s="1"/>
  <c r="BW127" i="1"/>
  <c r="BY127" i="1" s="1"/>
  <c r="BZ127" i="1" s="1"/>
  <c r="BS61" i="1"/>
  <c r="BT61" i="1" s="1"/>
  <c r="CC141" i="1"/>
  <c r="CG7" i="1"/>
  <c r="CH7" i="1" s="1"/>
  <c r="CI113" i="1"/>
  <c r="F92" i="14"/>
  <c r="BK53" i="1"/>
  <c r="BL53" i="1" s="1"/>
  <c r="BW129" i="1"/>
  <c r="BY129" i="1" s="1"/>
  <c r="BZ129" i="1" s="1"/>
  <c r="F90" i="14"/>
  <c r="BS63" i="1"/>
  <c r="BT63" i="1" s="1"/>
  <c r="CC143" i="1"/>
  <c r="CE143" i="1" s="1"/>
  <c r="CF143" i="1" s="1"/>
  <c r="BZ7" i="1"/>
  <c r="CA7" i="1" s="1"/>
  <c r="CI127" i="1"/>
  <c r="BZ8" i="1"/>
  <c r="CA8" i="1" s="1"/>
  <c r="CI128" i="1"/>
  <c r="F98" i="14"/>
  <c r="CG9" i="1"/>
  <c r="CH9" i="1" s="1"/>
  <c r="CI115" i="1"/>
  <c r="BK7" i="1"/>
  <c r="BL7" i="1" s="1"/>
  <c r="BW113" i="1"/>
  <c r="BY113" i="1" s="1"/>
  <c r="BZ113" i="1" s="1"/>
  <c r="BS7" i="1"/>
  <c r="BT7" i="1" s="1"/>
  <c r="CC113" i="1"/>
  <c r="CE113" i="1" s="1"/>
  <c r="CF113" i="1" s="1"/>
  <c r="BZ58" i="1"/>
  <c r="CA58" i="1" s="1"/>
  <c r="CC127" i="1"/>
  <c r="BS8" i="1"/>
  <c r="BT8" i="1" s="1"/>
  <c r="CC114" i="1"/>
  <c r="CE114" i="1" s="1"/>
  <c r="CF114" i="1" s="1"/>
  <c r="BZ59" i="1"/>
  <c r="CA59" i="1" s="1"/>
  <c r="CC128" i="1"/>
  <c r="CE128" i="1" s="1"/>
  <c r="CF128" i="1" s="1"/>
  <c r="BK52" i="1"/>
  <c r="BL52" i="1" s="1"/>
  <c r="BW128" i="1"/>
  <c r="BY128" i="1" s="1"/>
  <c r="BZ128" i="1" s="1"/>
  <c r="BS62" i="1"/>
  <c r="BT62" i="1" s="1"/>
  <c r="CC142" i="1"/>
  <c r="CE142" i="1" s="1"/>
  <c r="CF142" i="1" s="1"/>
  <c r="F100" i="14"/>
  <c r="BK9" i="1"/>
  <c r="BL9" i="1" s="1"/>
  <c r="BW115" i="1"/>
  <c r="BY115" i="1" s="1"/>
  <c r="BZ115" i="1" s="1"/>
  <c r="BS9" i="1"/>
  <c r="BT9" i="1" s="1"/>
  <c r="CC115" i="1"/>
  <c r="CE115" i="1" s="1"/>
  <c r="CF115" i="1" s="1"/>
  <c r="BZ9" i="1"/>
  <c r="CA9" i="1" s="1"/>
  <c r="CI129" i="1"/>
  <c r="BZ60" i="1"/>
  <c r="CA60" i="1" s="1"/>
  <c r="CC129" i="1"/>
  <c r="CE129" i="1" s="1"/>
  <c r="CF129" i="1" s="1"/>
  <c r="CG8" i="1"/>
  <c r="CH8" i="1" s="1"/>
  <c r="CI114" i="1"/>
  <c r="AQ43" i="1"/>
  <c r="AR3" i="27"/>
  <c r="AR43" i="1"/>
  <c r="AS3" i="27"/>
  <c r="AQ18" i="27"/>
  <c r="E26" i="27"/>
  <c r="S26" i="27"/>
  <c r="AQ26" i="27"/>
  <c r="AG26" i="27"/>
  <c r="Q26" i="27"/>
  <c r="AE26" i="27"/>
  <c r="H26" i="27"/>
  <c r="B26" i="27"/>
  <c r="AL26" i="27"/>
  <c r="C26" i="27"/>
  <c r="AA26" i="27"/>
  <c r="AM26" i="27"/>
  <c r="J26" i="27"/>
  <c r="AH26" i="27"/>
  <c r="I26" i="27"/>
  <c r="AK26" i="27"/>
  <c r="U26" i="27"/>
  <c r="AB26" i="27"/>
  <c r="L26" i="27"/>
  <c r="AF26" i="27"/>
  <c r="Y26" i="27"/>
  <c r="R26" i="27"/>
  <c r="T26" i="27"/>
  <c r="AJ26" i="27"/>
  <c r="AI26" i="27"/>
  <c r="G26" i="27"/>
  <c r="AN26" i="27"/>
  <c r="P26" i="27"/>
  <c r="K26" i="27"/>
  <c r="Z26" i="27"/>
  <c r="M26" i="27"/>
  <c r="D26" i="27"/>
  <c r="X26" i="27"/>
  <c r="N26" i="27"/>
  <c r="AD26" i="27"/>
  <c r="AC26" i="27"/>
  <c r="O26" i="27"/>
  <c r="F26" i="27"/>
  <c r="AP43" i="1"/>
  <c r="AQ3" i="27"/>
  <c r="AR18" i="27"/>
  <c r="AR26" i="27"/>
  <c r="AS18" i="27"/>
  <c r="AS26" i="27"/>
  <c r="F96" i="14"/>
  <c r="F94" i="14"/>
  <c r="F88" i="14"/>
  <c r="K43" i="20"/>
  <c r="J43" i="20"/>
  <c r="L43" i="20" s="1"/>
  <c r="J44" i="20"/>
  <c r="L44" i="20" s="1"/>
  <c r="M44" i="20"/>
  <c r="K44" i="20"/>
  <c r="K45" i="20"/>
  <c r="M45" i="20"/>
  <c r="J45" i="20"/>
  <c r="L45" i="20" s="1"/>
  <c r="BL41" i="1"/>
  <c r="BT11" i="1"/>
  <c r="CA68" i="1"/>
  <c r="BT108" i="1"/>
  <c r="CH14" i="1"/>
  <c r="BB130" i="1"/>
  <c r="BB132" i="1"/>
  <c r="BB131" i="1"/>
  <c r="BB135" i="1"/>
  <c r="BB134" i="1"/>
  <c r="BB133" i="1"/>
  <c r="BB129" i="1"/>
  <c r="BB128" i="1"/>
  <c r="BT40" i="1"/>
  <c r="BL42" i="1"/>
  <c r="CA66" i="1"/>
  <c r="BT144" i="1"/>
  <c r="CH16" i="1"/>
  <c r="BT117" i="1"/>
  <c r="BT153" i="1"/>
  <c r="BT41" i="1"/>
  <c r="CA72" i="1"/>
  <c r="CH13" i="1"/>
  <c r="CA73" i="1"/>
  <c r="BT91" i="1"/>
  <c r="CH40" i="1"/>
  <c r="BL11" i="1"/>
  <c r="BT10" i="1"/>
  <c r="CA44" i="1"/>
  <c r="CA62" i="1"/>
  <c r="CA91" i="1"/>
  <c r="CH10" i="1"/>
  <c r="CH36" i="1"/>
  <c r="BL55" i="1"/>
  <c r="BL83" i="1"/>
  <c r="BT98" i="1"/>
  <c r="BL90" i="1"/>
  <c r="CA96" i="1"/>
  <c r="BL39" i="1"/>
  <c r="CA61" i="1"/>
  <c r="BL88" i="1"/>
  <c r="BT99" i="1"/>
  <c r="CA42" i="1"/>
  <c r="BL38" i="1"/>
  <c r="BL85" i="1"/>
  <c r="BT92" i="1"/>
  <c r="CA43" i="1"/>
  <c r="CA90" i="1"/>
  <c r="CH37" i="1"/>
  <c r="CH41" i="1"/>
  <c r="BT126" i="1"/>
  <c r="BT162" i="1"/>
  <c r="BT65" i="1"/>
  <c r="CH11" i="1"/>
  <c r="BL84" i="1"/>
  <c r="CA97" i="1"/>
  <c r="BL89" i="1"/>
  <c r="BT97" i="1"/>
  <c r="CG60" i="1"/>
  <c r="H113" i="14" s="1"/>
  <c r="BR167" i="1"/>
  <c r="BT167" i="1" s="1"/>
  <c r="BR159" i="1"/>
  <c r="BT159" i="1" s="1"/>
  <c r="BT96" i="1"/>
  <c r="CA11" i="1"/>
  <c r="BR151" i="1"/>
  <c r="BT151" i="1" s="1"/>
  <c r="CH38" i="1"/>
  <c r="BR127" i="1"/>
  <c r="BT127" i="1" s="1"/>
  <c r="BL54" i="1"/>
  <c r="BR119" i="1"/>
  <c r="BT119" i="1" s="1"/>
  <c r="BL10" i="1"/>
  <c r="BT95" i="1"/>
  <c r="BR111" i="1"/>
  <c r="BT111" i="1" s="1"/>
  <c r="CA40" i="1"/>
  <c r="CA95" i="1"/>
  <c r="AS37" i="1"/>
  <c r="BL87" i="1"/>
  <c r="CA45" i="1"/>
  <c r="CA92" i="1"/>
  <c r="BH117" i="1"/>
  <c r="BH157" i="1"/>
  <c r="BP135" i="1"/>
  <c r="BR135" i="1" s="1"/>
  <c r="BT135" i="1" s="1"/>
  <c r="BR138" i="1"/>
  <c r="BT138" i="1" s="1"/>
  <c r="BR139" i="1"/>
  <c r="BT139" i="1" s="1"/>
  <c r="BR140" i="1"/>
  <c r="BT140" i="1" s="1"/>
  <c r="BR141" i="1"/>
  <c r="BT141" i="1" s="1"/>
  <c r="BR142" i="1"/>
  <c r="BT142" i="1" s="1"/>
  <c r="BR136" i="1"/>
  <c r="BT136" i="1" s="1"/>
  <c r="BR137" i="1"/>
  <c r="BT137" i="1" s="1"/>
  <c r="BT64" i="1"/>
  <c r="CA39" i="1"/>
  <c r="CA94" i="1"/>
  <c r="BT93" i="1"/>
  <c r="CA10" i="1"/>
  <c r="CA38" i="1"/>
  <c r="BR143" i="1"/>
  <c r="BT143" i="1" s="1"/>
  <c r="BR169" i="1"/>
  <c r="BT169" i="1" s="1"/>
  <c r="BR161" i="1"/>
  <c r="BT161" i="1" s="1"/>
  <c r="BR145" i="1"/>
  <c r="BT145" i="1" s="1"/>
  <c r="BR129" i="1"/>
  <c r="BT129" i="1" s="1"/>
  <c r="BR121" i="1"/>
  <c r="BT121" i="1" s="1"/>
  <c r="BR113" i="1"/>
  <c r="BT113" i="1" s="1"/>
  <c r="BR168" i="1"/>
  <c r="BT168" i="1" s="1"/>
  <c r="BR160" i="1"/>
  <c r="BT160" i="1" s="1"/>
  <c r="BR152" i="1"/>
  <c r="BT152" i="1" s="1"/>
  <c r="BR128" i="1"/>
  <c r="BT128" i="1" s="1"/>
  <c r="BR120" i="1"/>
  <c r="BT120" i="1" s="1"/>
  <c r="BR112" i="1"/>
  <c r="BT112" i="1" s="1"/>
  <c r="BR166" i="1"/>
  <c r="BT166" i="1" s="1"/>
  <c r="BR158" i="1"/>
  <c r="BT158" i="1" s="1"/>
  <c r="BR150" i="1"/>
  <c r="BT150" i="1" s="1"/>
  <c r="BR134" i="1"/>
  <c r="BT134" i="1" s="1"/>
  <c r="BR118" i="1"/>
  <c r="BT118" i="1" s="1"/>
  <c r="BR110" i="1"/>
  <c r="BT110" i="1" s="1"/>
  <c r="BR165" i="1"/>
  <c r="BT165" i="1" s="1"/>
  <c r="BR157" i="1"/>
  <c r="BT157" i="1" s="1"/>
  <c r="BR149" i="1"/>
  <c r="BT149" i="1" s="1"/>
  <c r="BR133" i="1"/>
  <c r="BT133" i="1" s="1"/>
  <c r="BR125" i="1"/>
  <c r="BT125" i="1" s="1"/>
  <c r="BR109" i="1"/>
  <c r="BT109" i="1" s="1"/>
  <c r="BR164" i="1"/>
  <c r="BT164" i="1" s="1"/>
  <c r="BR156" i="1"/>
  <c r="BT156" i="1" s="1"/>
  <c r="BR148" i="1"/>
  <c r="BT148" i="1" s="1"/>
  <c r="BR132" i="1"/>
  <c r="BT132" i="1" s="1"/>
  <c r="BR124" i="1"/>
  <c r="BT124" i="1" s="1"/>
  <c r="BR116" i="1"/>
  <c r="BT116" i="1" s="1"/>
  <c r="BR163" i="1"/>
  <c r="BT163" i="1" s="1"/>
  <c r="BR155" i="1"/>
  <c r="BT155" i="1" s="1"/>
  <c r="BR147" i="1"/>
  <c r="BT147" i="1" s="1"/>
  <c r="BR131" i="1"/>
  <c r="BT131" i="1" s="1"/>
  <c r="BR123" i="1"/>
  <c r="BT123" i="1" s="1"/>
  <c r="BR115" i="1"/>
  <c r="BT115" i="1" s="1"/>
  <c r="BR170" i="1"/>
  <c r="BT170" i="1" s="1"/>
  <c r="BR154" i="1"/>
  <c r="BT154" i="1" s="1"/>
  <c r="BR146" i="1"/>
  <c r="BT146" i="1" s="1"/>
  <c r="BR130" i="1"/>
  <c r="BT130" i="1" s="1"/>
  <c r="BR122" i="1"/>
  <c r="BT122" i="1" s="1"/>
  <c r="BR114" i="1"/>
  <c r="BT114" i="1" s="1"/>
  <c r="AS39" i="1"/>
  <c r="AR42" i="1"/>
  <c r="AS41" i="1"/>
  <c r="AS44" i="1"/>
  <c r="AQ74" i="1"/>
  <c r="AR23" i="27" s="1"/>
  <c r="AR74" i="1"/>
  <c r="AS23" i="27" s="1"/>
  <c r="AR11" i="1"/>
  <c r="AR83" i="1" s="1"/>
  <c r="AP36" i="1"/>
  <c r="AQ11" i="1"/>
  <c r="AP74" i="1"/>
  <c r="AQ23" i="27" s="1"/>
  <c r="AQ84" i="1"/>
  <c r="AP11" i="1"/>
  <c r="AR36" i="1"/>
  <c r="AR40" i="1"/>
  <c r="AR84" i="1"/>
  <c r="AQ36" i="1"/>
  <c r="AQ42" i="1"/>
  <c r="AQ40" i="1"/>
  <c r="AP40" i="1"/>
  <c r="AP84" i="1"/>
  <c r="AP42" i="1"/>
  <c r="E476" i="1"/>
  <c r="E495" i="1" s="1"/>
  <c r="E481" i="1"/>
  <c r="E501" i="1"/>
  <c r="E439" i="1"/>
  <c r="E458" i="1" s="1"/>
  <c r="E456" i="1" s="1"/>
  <c r="E194" i="1"/>
  <c r="E133" i="1"/>
  <c r="E175" i="1"/>
  <c r="E181" i="1" s="1"/>
  <c r="E180" i="1" s="1"/>
  <c r="E215" i="1" s="1"/>
  <c r="E188" i="1"/>
  <c r="E222" i="1"/>
  <c r="E232" i="1"/>
  <c r="BU13" i="1" l="1"/>
  <c r="AS27" i="27"/>
  <c r="AT27" i="27" s="1"/>
  <c r="AR27" i="27"/>
  <c r="E502" i="1"/>
  <c r="E500" i="1" s="1"/>
  <c r="E507" i="1" s="1"/>
  <c r="E493" i="1"/>
  <c r="B127" i="27"/>
  <c r="B125" i="27"/>
  <c r="B126" i="27"/>
  <c r="B121" i="27"/>
  <c r="B120" i="27"/>
  <c r="F83" i="14"/>
  <c r="H83" i="14" s="1"/>
  <c r="V80" i="27" s="1"/>
  <c r="W80" i="27" s="1"/>
  <c r="X34" i="24" s="1"/>
  <c r="B90" i="27"/>
  <c r="C6" i="27"/>
  <c r="D35" i="27" s="1"/>
  <c r="P35" i="27" s="1"/>
  <c r="G6" i="27"/>
  <c r="D39" i="27" s="1"/>
  <c r="P39" i="27" s="1"/>
  <c r="K6" i="27"/>
  <c r="D43" i="27" s="1"/>
  <c r="P43" i="27" s="1"/>
  <c r="O6" i="27"/>
  <c r="D47" i="27" s="1"/>
  <c r="P47" i="27" s="1"/>
  <c r="S6" i="27"/>
  <c r="D51" i="27" s="1"/>
  <c r="P51" i="27" s="1"/>
  <c r="W6" i="27"/>
  <c r="D55" i="27" s="1"/>
  <c r="P55" i="27" s="1"/>
  <c r="AA6" i="27"/>
  <c r="D59" i="27" s="1"/>
  <c r="P59" i="27" s="1"/>
  <c r="AE6" i="27"/>
  <c r="D63" i="27" s="1"/>
  <c r="P63" i="27" s="1"/>
  <c r="AI6" i="27"/>
  <c r="D67" i="27" s="1"/>
  <c r="P67" i="27" s="1"/>
  <c r="AM6" i="27"/>
  <c r="D71" i="27" s="1"/>
  <c r="P71" i="27" s="1"/>
  <c r="AQ6" i="27"/>
  <c r="D6" i="27"/>
  <c r="D36" i="27" s="1"/>
  <c r="P36" i="27" s="1"/>
  <c r="H6" i="27"/>
  <c r="D40" i="27" s="1"/>
  <c r="P40" i="27" s="1"/>
  <c r="L6" i="27"/>
  <c r="D44" i="27" s="1"/>
  <c r="P44" i="27" s="1"/>
  <c r="P6" i="27"/>
  <c r="D48" i="27" s="1"/>
  <c r="P48" i="27" s="1"/>
  <c r="T6" i="27"/>
  <c r="D52" i="27" s="1"/>
  <c r="P52" i="27" s="1"/>
  <c r="X6" i="27"/>
  <c r="D56" i="27" s="1"/>
  <c r="P56" i="27" s="1"/>
  <c r="AB6" i="27"/>
  <c r="D60" i="27" s="1"/>
  <c r="P60" i="27" s="1"/>
  <c r="AF6" i="27"/>
  <c r="D64" i="27" s="1"/>
  <c r="P64" i="27" s="1"/>
  <c r="AJ6" i="27"/>
  <c r="D68" i="27" s="1"/>
  <c r="P68" i="27" s="1"/>
  <c r="AN6" i="27"/>
  <c r="D72" i="27" s="1"/>
  <c r="P72" i="27" s="1"/>
  <c r="AR6" i="27"/>
  <c r="E6" i="27"/>
  <c r="D37" i="27" s="1"/>
  <c r="P37" i="27" s="1"/>
  <c r="M6" i="27"/>
  <c r="D45" i="27" s="1"/>
  <c r="P45" i="27" s="1"/>
  <c r="U6" i="27"/>
  <c r="D53" i="27" s="1"/>
  <c r="P53" i="27" s="1"/>
  <c r="AC6" i="27"/>
  <c r="D61" i="27" s="1"/>
  <c r="P61" i="27" s="1"/>
  <c r="AK6" i="27"/>
  <c r="D69" i="27" s="1"/>
  <c r="P69" i="27" s="1"/>
  <c r="AS6" i="27"/>
  <c r="F6" i="27"/>
  <c r="D38" i="27" s="1"/>
  <c r="P38" i="27" s="1"/>
  <c r="N6" i="27"/>
  <c r="D46" i="27" s="1"/>
  <c r="P46" i="27" s="1"/>
  <c r="V6" i="27"/>
  <c r="D54" i="27" s="1"/>
  <c r="P54" i="27" s="1"/>
  <c r="AD6" i="27"/>
  <c r="D62" i="27" s="1"/>
  <c r="P62" i="27" s="1"/>
  <c r="AL6" i="27"/>
  <c r="D70" i="27" s="1"/>
  <c r="P70" i="27" s="1"/>
  <c r="B6" i="27"/>
  <c r="D34" i="27" s="1"/>
  <c r="Q6" i="27"/>
  <c r="D49" i="27" s="1"/>
  <c r="P49" i="27" s="1"/>
  <c r="AG6" i="27"/>
  <c r="D65" i="27" s="1"/>
  <c r="P65" i="27" s="1"/>
  <c r="R6" i="27"/>
  <c r="D50" i="27" s="1"/>
  <c r="P50" i="27" s="1"/>
  <c r="AH6" i="27"/>
  <c r="D66" i="27" s="1"/>
  <c r="P66" i="27" s="1"/>
  <c r="I6" i="27"/>
  <c r="D41" i="27" s="1"/>
  <c r="P41" i="27" s="1"/>
  <c r="Y6" i="27"/>
  <c r="D57" i="27" s="1"/>
  <c r="P57" i="27" s="1"/>
  <c r="Z6" i="27"/>
  <c r="D58" i="27" s="1"/>
  <c r="P58" i="27" s="1"/>
  <c r="AO6" i="27"/>
  <c r="J6" i="27"/>
  <c r="D42" i="27" s="1"/>
  <c r="P42" i="27" s="1"/>
  <c r="AP6" i="27"/>
  <c r="E488" i="1"/>
  <c r="AR80" i="1"/>
  <c r="E216" i="1"/>
  <c r="E229" i="1" s="1"/>
  <c r="H184" i="1"/>
  <c r="H185" i="1"/>
  <c r="H183" i="1"/>
  <c r="AS59" i="1"/>
  <c r="BJ117" i="1"/>
  <c r="BL117" i="1" s="1"/>
  <c r="BM117" i="1" s="1"/>
  <c r="H107" i="14" s="1"/>
  <c r="BJ157" i="1"/>
  <c r="BL157" i="1" s="1"/>
  <c r="BM157" i="1" s="1"/>
  <c r="H129" i="14" s="1"/>
  <c r="CK114" i="1"/>
  <c r="CL114" i="1" s="1"/>
  <c r="CK129" i="1"/>
  <c r="CL129" i="1" s="1"/>
  <c r="CK115" i="1"/>
  <c r="CL115" i="1" s="1"/>
  <c r="CK128" i="1"/>
  <c r="CL128" i="1" s="1"/>
  <c r="W145" i="20"/>
  <c r="F145" i="20"/>
  <c r="BE145" i="20"/>
  <c r="AN145" i="20"/>
  <c r="BV145" i="20"/>
  <c r="L62" i="20"/>
  <c r="AB62" i="20" s="1"/>
  <c r="N63" i="20"/>
  <c r="AC63" i="20" s="1"/>
  <c r="AS43" i="1"/>
  <c r="CA113" i="1"/>
  <c r="H139" i="14" s="1"/>
  <c r="B91" i="27" s="1"/>
  <c r="C91" i="27" s="1"/>
  <c r="CG113" i="1"/>
  <c r="H136" i="14" s="1"/>
  <c r="L91" i="27" s="1"/>
  <c r="CA127" i="1"/>
  <c r="H142" i="14" s="1"/>
  <c r="G91" i="27" s="1"/>
  <c r="CB7" i="1"/>
  <c r="H69" i="14" s="1"/>
  <c r="BC128" i="1"/>
  <c r="H34" i="14" s="1"/>
  <c r="K19" i="27"/>
  <c r="K20" i="27" s="1"/>
  <c r="J19" i="27"/>
  <c r="J20" i="27" s="1"/>
  <c r="AR19" i="27"/>
  <c r="AR20" i="27" s="1"/>
  <c r="F19" i="27"/>
  <c r="F20" i="27" s="1"/>
  <c r="O19" i="27"/>
  <c r="O20" i="27" s="1"/>
  <c r="Z19" i="27"/>
  <c r="Z20" i="27" s="1"/>
  <c r="R19" i="27"/>
  <c r="R20" i="27" s="1"/>
  <c r="AA19" i="27"/>
  <c r="AA20" i="27" s="1"/>
  <c r="AD19" i="27"/>
  <c r="AD20" i="27" s="1"/>
  <c r="AE19" i="27"/>
  <c r="AE20" i="27" s="1"/>
  <c r="B19" i="27"/>
  <c r="B20" i="27" s="1"/>
  <c r="T19" i="27"/>
  <c r="T20" i="27" s="1"/>
  <c r="H19" i="27"/>
  <c r="H20" i="27" s="1"/>
  <c r="AN19" i="27"/>
  <c r="AN20" i="27" s="1"/>
  <c r="M19" i="27"/>
  <c r="M20" i="27" s="1"/>
  <c r="S19" i="27"/>
  <c r="S20" i="27" s="1"/>
  <c r="G19" i="27"/>
  <c r="G20" i="27" s="1"/>
  <c r="E19" i="27"/>
  <c r="E20" i="27" s="1"/>
  <c r="U19" i="27"/>
  <c r="U20" i="27" s="1"/>
  <c r="N19" i="27"/>
  <c r="N20" i="27" s="1"/>
  <c r="AH19" i="27"/>
  <c r="AH20" i="27" s="1"/>
  <c r="AQ19" i="27"/>
  <c r="AQ20" i="27" s="1"/>
  <c r="X19" i="27"/>
  <c r="X20" i="27" s="1"/>
  <c r="C19" i="27"/>
  <c r="C20" i="27" s="1"/>
  <c r="AL19" i="27"/>
  <c r="AL20" i="27" s="1"/>
  <c r="D19" i="27"/>
  <c r="D20" i="27" s="1"/>
  <c r="AG19" i="27"/>
  <c r="AG20" i="27" s="1"/>
  <c r="L19" i="27"/>
  <c r="L20" i="27" s="1"/>
  <c r="AB19" i="27"/>
  <c r="AB20" i="27" s="1"/>
  <c r="I19" i="27"/>
  <c r="I20" i="27" s="1"/>
  <c r="Q19" i="27"/>
  <c r="Q20" i="27" s="1"/>
  <c r="P19" i="27"/>
  <c r="P20" i="27" s="1"/>
  <c r="AJ19" i="27"/>
  <c r="AJ20" i="27" s="1"/>
  <c r="AC19" i="27"/>
  <c r="AC20" i="27" s="1"/>
  <c r="Y19" i="27"/>
  <c r="Y20" i="27" s="1"/>
  <c r="AI19" i="27"/>
  <c r="AI20" i="27" s="1"/>
  <c r="AM19" i="27"/>
  <c r="AM20" i="27" s="1"/>
  <c r="AK19" i="27"/>
  <c r="AK20" i="27" s="1"/>
  <c r="AS19" i="27"/>
  <c r="AS20" i="27" s="1"/>
  <c r="AF19" i="27"/>
  <c r="AF20" i="27" s="1"/>
  <c r="BU7" i="1"/>
  <c r="H47" i="14" s="1"/>
  <c r="L79" i="27" s="1"/>
  <c r="CI7" i="1"/>
  <c r="H82" i="14" s="1"/>
  <c r="V79" i="27" s="1"/>
  <c r="BM7" i="1"/>
  <c r="H55" i="14" s="1"/>
  <c r="B79" i="27" s="1"/>
  <c r="C79" i="27" s="1"/>
  <c r="BM10" i="1"/>
  <c r="H92" i="14" s="1"/>
  <c r="B86" i="27" s="1"/>
  <c r="C86" i="27" s="1"/>
  <c r="BM54" i="1"/>
  <c r="H94" i="14" s="1"/>
  <c r="G86" i="27" s="1"/>
  <c r="CI10" i="1"/>
  <c r="H100" i="14" s="1"/>
  <c r="V85" i="27" s="1"/>
  <c r="BU108" i="1"/>
  <c r="H178" i="14" s="1"/>
  <c r="BU64" i="1"/>
  <c r="H88" i="14" s="1"/>
  <c r="BU10" i="1"/>
  <c r="H90" i="14" s="1"/>
  <c r="L87" i="27" s="1"/>
  <c r="BU61" i="1"/>
  <c r="H39" i="14" s="1"/>
  <c r="CB10" i="1"/>
  <c r="H96" i="14" s="1"/>
  <c r="BU144" i="1"/>
  <c r="H182" i="14" s="1"/>
  <c r="AN91" i="27" s="1"/>
  <c r="R45" i="24" s="1"/>
  <c r="CB61" i="1"/>
  <c r="H98" i="14" s="1"/>
  <c r="Q85" i="27" s="1"/>
  <c r="BU117" i="1"/>
  <c r="H180" i="14" s="1"/>
  <c r="BU126" i="1"/>
  <c r="H176" i="14" s="1"/>
  <c r="BU162" i="1"/>
  <c r="H186" i="14" s="1"/>
  <c r="BM147" i="1"/>
  <c r="H125" i="14" s="1"/>
  <c r="BM127" i="1"/>
  <c r="H103" i="14" s="1"/>
  <c r="BU153" i="1"/>
  <c r="H184" i="14" s="1"/>
  <c r="BM137" i="1"/>
  <c r="H121" i="14" s="1"/>
  <c r="BM97" i="1"/>
  <c r="H111" i="14" s="1"/>
  <c r="BM107" i="1"/>
  <c r="H116" i="14" s="1"/>
  <c r="CB58" i="1"/>
  <c r="H76" i="14" s="1"/>
  <c r="Q79" i="27" s="1"/>
  <c r="BL56" i="1"/>
  <c r="BM51" i="1"/>
  <c r="H62" i="14" s="1"/>
  <c r="G79" i="27" s="1"/>
  <c r="BU135" i="1"/>
  <c r="H174" i="14" s="1"/>
  <c r="AR35" i="1"/>
  <c r="AR94" i="1" s="1"/>
  <c r="AS42" i="1"/>
  <c r="AQ83" i="1"/>
  <c r="AQ80" i="1" s="1"/>
  <c r="AS40" i="1"/>
  <c r="AP35" i="1"/>
  <c r="AP94" i="1" s="1"/>
  <c r="AS36" i="1"/>
  <c r="AS38" i="1"/>
  <c r="AQ35" i="1"/>
  <c r="AQ94" i="1" s="1"/>
  <c r="AQ92" i="1"/>
  <c r="AR92" i="1"/>
  <c r="AP83" i="1"/>
  <c r="AP80" i="1" s="1"/>
  <c r="AP92" i="1"/>
  <c r="E204" i="1"/>
  <c r="E224" i="1" s="1"/>
  <c r="E221" i="1" s="1"/>
  <c r="F66" i="14" s="1"/>
  <c r="H66" i="14" s="1"/>
  <c r="E228" i="1"/>
  <c r="E200" i="1"/>
  <c r="C90" i="27" l="1"/>
  <c r="L44" i="24" s="1"/>
  <c r="E227" i="1"/>
  <c r="F64" i="14" s="1"/>
  <c r="H64" i="14" s="1"/>
  <c r="E487" i="1"/>
  <c r="F85" i="14" s="1"/>
  <c r="H85" i="14" s="1"/>
  <c r="V82" i="27" s="1"/>
  <c r="W82" i="27" s="1"/>
  <c r="X36" i="24" s="1"/>
  <c r="E506" i="1"/>
  <c r="F84" i="14" s="1"/>
  <c r="H84" i="14" s="1"/>
  <c r="V28" i="27"/>
  <c r="W28" i="27"/>
  <c r="AB55" i="27" s="1"/>
  <c r="AO28" i="27"/>
  <c r="AP28" i="27"/>
  <c r="AS28" i="27"/>
  <c r="AK28" i="27"/>
  <c r="AB69" i="27" s="1"/>
  <c r="AC28" i="27"/>
  <c r="AB61" i="27" s="1"/>
  <c r="I28" i="27"/>
  <c r="AB41" i="27" s="1"/>
  <c r="D28" i="27"/>
  <c r="AB36" i="27" s="1"/>
  <c r="AQ28" i="27"/>
  <c r="E28" i="27"/>
  <c r="AB37" i="27" s="1"/>
  <c r="AN28" i="27"/>
  <c r="AB72" i="27" s="1"/>
  <c r="AE28" i="27"/>
  <c r="AB63" i="27" s="1"/>
  <c r="Z28" i="27"/>
  <c r="AB58" i="27" s="1"/>
  <c r="J28" i="27"/>
  <c r="AB42" i="27" s="1"/>
  <c r="AJ28" i="27"/>
  <c r="AB68" i="27" s="1"/>
  <c r="AB28" i="27"/>
  <c r="AB60" i="27" s="1"/>
  <c r="AL28" i="27"/>
  <c r="AB70" i="27" s="1"/>
  <c r="AH28" i="27"/>
  <c r="AB66" i="27" s="1"/>
  <c r="G28" i="27"/>
  <c r="AB39" i="27" s="1"/>
  <c r="H28" i="27"/>
  <c r="AB40" i="27" s="1"/>
  <c r="AD28" i="27"/>
  <c r="AB62" i="27" s="1"/>
  <c r="O28" i="27"/>
  <c r="AB47" i="27" s="1"/>
  <c r="K28" i="27"/>
  <c r="AB43" i="27" s="1"/>
  <c r="AM28" i="27"/>
  <c r="AB71" i="27" s="1"/>
  <c r="AF28" i="27"/>
  <c r="AB64" i="27" s="1"/>
  <c r="AI28" i="27"/>
  <c r="AB67" i="27" s="1"/>
  <c r="P28" i="27"/>
  <c r="AB48" i="27" s="1"/>
  <c r="L28" i="27"/>
  <c r="AB44" i="27" s="1"/>
  <c r="C28" i="27"/>
  <c r="AB35" i="27" s="1"/>
  <c r="N28" i="27"/>
  <c r="AB46" i="27" s="1"/>
  <c r="S28" i="27"/>
  <c r="AB51" i="27" s="1"/>
  <c r="T28" i="27"/>
  <c r="AB52" i="27" s="1"/>
  <c r="AA28" i="27"/>
  <c r="AB59" i="27" s="1"/>
  <c r="F28" i="27"/>
  <c r="AB38" i="27" s="1"/>
  <c r="Y28" i="27"/>
  <c r="AB57" i="27" s="1"/>
  <c r="Q28" i="27"/>
  <c r="AB49" i="27" s="1"/>
  <c r="AG28" i="27"/>
  <c r="AB65" i="27" s="1"/>
  <c r="X28" i="27"/>
  <c r="AB56" i="27" s="1"/>
  <c r="U28" i="27"/>
  <c r="AB53" i="27" s="1"/>
  <c r="M28" i="27"/>
  <c r="AB45" i="27" s="1"/>
  <c r="B28" i="27"/>
  <c r="AB34" i="27" s="1"/>
  <c r="R28" i="27"/>
  <c r="AB50" i="27" s="1"/>
  <c r="AR28" i="27"/>
  <c r="K85" i="14"/>
  <c r="V90" i="27"/>
  <c r="W90" i="27" s="1"/>
  <c r="X44" i="24" s="1"/>
  <c r="G83" i="27"/>
  <c r="H83" i="27" s="1"/>
  <c r="O37" i="24" s="1"/>
  <c r="Q90" i="27"/>
  <c r="R90" i="27" s="1"/>
  <c r="U44" i="24" s="1"/>
  <c r="L92" i="27"/>
  <c r="M92" i="27" s="1"/>
  <c r="I46" i="24" s="1"/>
  <c r="B92" i="27"/>
  <c r="G92" i="27"/>
  <c r="H92" i="27" s="1"/>
  <c r="O46" i="24" s="1"/>
  <c r="D73" i="27"/>
  <c r="P34" i="27"/>
  <c r="E199" i="1"/>
  <c r="E217" i="1" s="1"/>
  <c r="E214" i="1" s="1"/>
  <c r="E239" i="1" s="1"/>
  <c r="E238" i="1" s="1"/>
  <c r="H186" i="1"/>
  <c r="B149" i="27" s="1" a="1"/>
  <c r="B128" i="27"/>
  <c r="V83" i="27" s="1"/>
  <c r="W83" i="27" s="1"/>
  <c r="X37" i="24" s="1"/>
  <c r="N62" i="20"/>
  <c r="H86" i="27"/>
  <c r="O40" i="24" s="1"/>
  <c r="K69" i="14"/>
  <c r="M79" i="27"/>
  <c r="I33" i="24" s="1"/>
  <c r="H79" i="27"/>
  <c r="O33" i="24" s="1"/>
  <c r="R79" i="27"/>
  <c r="U33" i="24" s="1"/>
  <c r="AN86" i="27"/>
  <c r="R40" i="24" s="1"/>
  <c r="K89" i="14"/>
  <c r="L40" i="24"/>
  <c r="K65" i="14"/>
  <c r="AN79" i="27"/>
  <c r="R33" i="24" s="1"/>
  <c r="L33" i="24"/>
  <c r="R85" i="27"/>
  <c r="U39" i="24" s="1"/>
  <c r="K77" i="14"/>
  <c r="M87" i="27"/>
  <c r="I41" i="24" s="1"/>
  <c r="K73" i="14"/>
  <c r="W85" i="27"/>
  <c r="X39" i="24" s="1"/>
  <c r="K81" i="14"/>
  <c r="W79" i="27"/>
  <c r="X33" i="24" s="1"/>
  <c r="AW145" i="20"/>
  <c r="BW145" i="20"/>
  <c r="X145" i="20"/>
  <c r="BF145" i="20"/>
  <c r="AO145" i="20"/>
  <c r="G145" i="20"/>
  <c r="BN145" i="20"/>
  <c r="O145" i="20"/>
  <c r="CE145" i="20"/>
  <c r="AF145" i="20"/>
  <c r="AN144" i="20"/>
  <c r="W144" i="20"/>
  <c r="BV144" i="20"/>
  <c r="BE144" i="20"/>
  <c r="BN144" i="20" s="1"/>
  <c r="F41" i="24"/>
  <c r="C41" i="24"/>
  <c r="M91" i="27"/>
  <c r="I45" i="24" s="1"/>
  <c r="H91" i="27"/>
  <c r="O45" i="24" s="1"/>
  <c r="C33" i="24"/>
  <c r="F33" i="24"/>
  <c r="C46" i="24"/>
  <c r="F46" i="24"/>
  <c r="L45" i="24"/>
  <c r="AB54" i="27"/>
  <c r="AP87" i="1"/>
  <c r="AQ14" i="27"/>
  <c r="AQ15" i="27" s="1"/>
  <c r="AR87" i="1"/>
  <c r="AS14" i="27"/>
  <c r="AS15" i="27" s="1"/>
  <c r="AQ87" i="1"/>
  <c r="AR14" i="27"/>
  <c r="AR15" i="27" s="1"/>
  <c r="CE52" i="1"/>
  <c r="CE55" i="1"/>
  <c r="CE54" i="1"/>
  <c r="CE51" i="1"/>
  <c r="AS35" i="1"/>
  <c r="AR90" i="1"/>
  <c r="AP90" i="1"/>
  <c r="AQ90" i="1"/>
  <c r="AR9" i="1"/>
  <c r="AQ9" i="1"/>
  <c r="AQ8" i="1" s="1"/>
  <c r="AR12" i="27" s="1"/>
  <c r="AR13" i="27" s="1"/>
  <c r="AP9" i="1"/>
  <c r="AP8" i="1" s="1"/>
  <c r="AQ12" i="27" s="1"/>
  <c r="AQ13" i="27" s="1"/>
  <c r="E210" i="1"/>
  <c r="E207" i="1" s="1"/>
  <c r="C92" i="27" l="1"/>
  <c r="L46" i="24" s="1"/>
  <c r="K80" i="14"/>
  <c r="V81" i="27"/>
  <c r="W81" i="27" s="1"/>
  <c r="X35" i="24" s="1"/>
  <c r="G81" i="27"/>
  <c r="H81" i="27" s="1"/>
  <c r="O35" i="24" s="1"/>
  <c r="B149" i="27"/>
  <c r="G84" i="27"/>
  <c r="H84" i="27" s="1"/>
  <c r="O38" i="24" s="1"/>
  <c r="P145" i="20"/>
  <c r="CF145" i="20"/>
  <c r="AX145" i="20"/>
  <c r="BO145" i="20"/>
  <c r="AG145" i="20"/>
  <c r="AQ97" i="1"/>
  <c r="AR16" i="27"/>
  <c r="AR17" i="27" s="1"/>
  <c r="AP97" i="1"/>
  <c r="AQ16" i="27"/>
  <c r="AQ17" i="27" s="1"/>
  <c r="AR97" i="1"/>
  <c r="AS16" i="27"/>
  <c r="AS17" i="27" s="1"/>
  <c r="AR8" i="1"/>
  <c r="AS12" i="27" s="1"/>
  <c r="AS13" i="27" s="1"/>
  <c r="E236" i="1"/>
  <c r="F65" i="14"/>
  <c r="H65" i="14" s="1"/>
  <c r="AY54" i="1"/>
  <c r="AY55" i="1"/>
  <c r="BB55" i="1" s="1"/>
  <c r="AY21" i="1"/>
  <c r="AY22" i="1"/>
  <c r="BC22" i="1" s="1"/>
  <c r="AY23" i="1"/>
  <c r="BC23" i="1" s="1"/>
  <c r="AY24" i="1"/>
  <c r="BC24" i="1" s="1"/>
  <c r="AY25" i="1"/>
  <c r="AY26" i="1"/>
  <c r="BC26" i="1" s="1"/>
  <c r="AY27" i="1"/>
  <c r="AY28" i="1"/>
  <c r="BC28" i="1" s="1"/>
  <c r="AY29" i="1"/>
  <c r="BC29" i="1" s="1"/>
  <c r="AY30" i="1"/>
  <c r="BC30" i="1" s="1"/>
  <c r="AY31" i="1"/>
  <c r="BC31" i="1" s="1"/>
  <c r="AY32" i="1"/>
  <c r="BC32" i="1" s="1"/>
  <c r="AY33" i="1"/>
  <c r="AY34" i="1"/>
  <c r="BC34" i="1" s="1"/>
  <c r="AY35" i="1"/>
  <c r="AY36" i="1"/>
  <c r="BC36" i="1" s="1"/>
  <c r="AY37" i="1"/>
  <c r="BC37" i="1" s="1"/>
  <c r="AY38" i="1"/>
  <c r="BC38" i="1" s="1"/>
  <c r="AY39" i="1"/>
  <c r="BC39" i="1" s="1"/>
  <c r="AY40" i="1"/>
  <c r="BC40" i="1" s="1"/>
  <c r="AY41" i="1"/>
  <c r="BC41" i="1" s="1"/>
  <c r="AY42" i="1"/>
  <c r="BC42" i="1" s="1"/>
  <c r="AY43" i="1"/>
  <c r="AY44" i="1"/>
  <c r="BC44" i="1" s="1"/>
  <c r="AY45" i="1"/>
  <c r="BC45" i="1" s="1"/>
  <c r="AY46" i="1"/>
  <c r="BC46" i="1" s="1"/>
  <c r="AY47" i="1"/>
  <c r="BC47" i="1" s="1"/>
  <c r="AZ54" i="1"/>
  <c r="BA54" i="1"/>
  <c r="AZ55" i="1"/>
  <c r="BA55" i="1"/>
  <c r="AY69" i="1"/>
  <c r="AZ69" i="1"/>
  <c r="BA69" i="1"/>
  <c r="AY70" i="1"/>
  <c r="BB70" i="1" s="1"/>
  <c r="AZ70" i="1"/>
  <c r="BA70" i="1"/>
  <c r="AY80" i="1"/>
  <c r="AZ80" i="1"/>
  <c r="BA80" i="1"/>
  <c r="AY81" i="1"/>
  <c r="BB81" i="1" s="1"/>
  <c r="AZ81" i="1"/>
  <c r="BA81" i="1"/>
  <c r="AY103" i="1"/>
  <c r="BB103" i="1" s="1"/>
  <c r="AZ103" i="1"/>
  <c r="BA103" i="1"/>
  <c r="AY104" i="1"/>
  <c r="BB104" i="1" s="1"/>
  <c r="AZ104" i="1"/>
  <c r="BA104" i="1"/>
  <c r="AY105" i="1"/>
  <c r="BB105" i="1" s="1"/>
  <c r="AZ105" i="1"/>
  <c r="BA105" i="1"/>
  <c r="AY106" i="1"/>
  <c r="BB106" i="1" s="1"/>
  <c r="AZ106" i="1"/>
  <c r="BA106" i="1"/>
  <c r="AY107" i="1"/>
  <c r="BB107" i="1" s="1"/>
  <c r="AZ107" i="1"/>
  <c r="BA107" i="1"/>
  <c r="AY108" i="1"/>
  <c r="BB108" i="1" s="1"/>
  <c r="AZ108" i="1"/>
  <c r="BA108" i="1"/>
  <c r="AY109" i="1"/>
  <c r="BB109" i="1" s="1"/>
  <c r="AZ109" i="1"/>
  <c r="BA109" i="1"/>
  <c r="AY110" i="1"/>
  <c r="AZ110" i="1"/>
  <c r="BA110" i="1"/>
  <c r="AY111" i="1"/>
  <c r="BB111" i="1" s="1"/>
  <c r="AZ111" i="1"/>
  <c r="BA111" i="1"/>
  <c r="AY112" i="1"/>
  <c r="BB112" i="1" s="1"/>
  <c r="AZ112" i="1"/>
  <c r="BA112" i="1"/>
  <c r="AY113" i="1"/>
  <c r="BB113" i="1" s="1"/>
  <c r="AZ113" i="1"/>
  <c r="BA113" i="1"/>
  <c r="AY114" i="1"/>
  <c r="BB114" i="1" s="1"/>
  <c r="AZ114" i="1"/>
  <c r="BA114" i="1"/>
  <c r="BA20" i="1"/>
  <c r="AZ20" i="1"/>
  <c r="AY20" i="1"/>
  <c r="F10" i="1"/>
  <c r="G10" i="1"/>
  <c r="H10" i="1"/>
  <c r="I10" i="1"/>
  <c r="J10" i="1"/>
  <c r="K10" i="1"/>
  <c r="L10" i="1"/>
  <c r="M10" i="1"/>
  <c r="N10" i="1"/>
  <c r="O10" i="1"/>
  <c r="P10" i="1"/>
  <c r="Q10" i="1"/>
  <c r="R10" i="1"/>
  <c r="S10" i="1"/>
  <c r="T10" i="1"/>
  <c r="U10" i="1"/>
  <c r="V10" i="1"/>
  <c r="W10" i="1"/>
  <c r="X10" i="1"/>
  <c r="Y10" i="1"/>
  <c r="Z10" i="1"/>
  <c r="AA10" i="1"/>
  <c r="AB10" i="1"/>
  <c r="AC10" i="1"/>
  <c r="AD10" i="1"/>
  <c r="AE10" i="1"/>
  <c r="AF10" i="1"/>
  <c r="AG10" i="1"/>
  <c r="AH10" i="1"/>
  <c r="AI10" i="1"/>
  <c r="AJ10" i="1"/>
  <c r="AK10" i="1"/>
  <c r="AL10" i="1"/>
  <c r="AM10" i="1"/>
  <c r="AN10" i="1"/>
  <c r="AO10" i="1"/>
  <c r="E10" i="1"/>
  <c r="F23" i="1"/>
  <c r="G23" i="1"/>
  <c r="H23" i="1"/>
  <c r="I23" i="1"/>
  <c r="J23" i="1"/>
  <c r="K23" i="1"/>
  <c r="L23" i="1"/>
  <c r="M23" i="1"/>
  <c r="N23" i="1"/>
  <c r="O23" i="1"/>
  <c r="P23" i="1"/>
  <c r="Q23" i="1"/>
  <c r="R23" i="1"/>
  <c r="S23" i="1"/>
  <c r="T23" i="1"/>
  <c r="U23" i="1"/>
  <c r="V23" i="1"/>
  <c r="W23" i="1"/>
  <c r="X23" i="1"/>
  <c r="L71" i="1"/>
  <c r="L70" i="1" s="1"/>
  <c r="I24" i="27" s="1"/>
  <c r="Y41" i="27" s="1"/>
  <c r="AL6" i="1"/>
  <c r="AK3" i="27" s="1"/>
  <c r="A69" i="27" s="1"/>
  <c r="AM6" i="1"/>
  <c r="AL3" i="27" s="1"/>
  <c r="A70" i="27" s="1"/>
  <c r="AN6" i="1"/>
  <c r="AM3" i="27" s="1"/>
  <c r="A71" i="27" s="1"/>
  <c r="AO6" i="1"/>
  <c r="AN3" i="27" s="1"/>
  <c r="A72" i="27" s="1"/>
  <c r="AL12" i="1"/>
  <c r="AM12" i="1"/>
  <c r="AN12" i="1"/>
  <c r="AO12" i="1"/>
  <c r="AL13" i="1"/>
  <c r="AM13" i="1"/>
  <c r="AN13" i="1"/>
  <c r="AO13" i="1"/>
  <c r="AL14" i="1"/>
  <c r="AM14" i="1"/>
  <c r="AN14" i="1"/>
  <c r="AO14" i="1"/>
  <c r="AL15" i="1"/>
  <c r="AM15" i="1"/>
  <c r="AN15" i="1"/>
  <c r="AO15" i="1"/>
  <c r="AL71" i="1"/>
  <c r="AL70" i="1" s="1"/>
  <c r="AK24" i="27" s="1"/>
  <c r="Y69" i="27" s="1"/>
  <c r="AM71" i="1"/>
  <c r="AM70" i="1" s="1"/>
  <c r="AL24" i="27" s="1"/>
  <c r="Y70" i="27" s="1"/>
  <c r="AN71" i="1"/>
  <c r="AN70" i="1" s="1"/>
  <c r="AM24" i="27" s="1"/>
  <c r="Y71" i="27" s="1"/>
  <c r="AO71" i="1"/>
  <c r="AO70" i="1" s="1"/>
  <c r="AN24" i="27" s="1"/>
  <c r="Y72" i="27" s="1"/>
  <c r="AL75" i="1"/>
  <c r="AM75" i="1"/>
  <c r="AN75" i="1"/>
  <c r="AO75" i="1"/>
  <c r="AL76" i="1"/>
  <c r="AM76" i="1"/>
  <c r="AN76" i="1"/>
  <c r="AO76" i="1"/>
  <c r="AL81" i="1"/>
  <c r="AM81" i="1"/>
  <c r="AN81" i="1"/>
  <c r="AO81" i="1"/>
  <c r="AL85" i="1"/>
  <c r="AM85" i="1"/>
  <c r="AN85" i="1"/>
  <c r="AO85" i="1"/>
  <c r="AL86" i="1"/>
  <c r="AM86" i="1"/>
  <c r="AN86" i="1"/>
  <c r="AO86" i="1"/>
  <c r="AL91" i="1"/>
  <c r="AM91" i="1"/>
  <c r="AN91" i="1"/>
  <c r="AO91" i="1"/>
  <c r="AL95" i="1"/>
  <c r="AM95" i="1"/>
  <c r="AN95" i="1"/>
  <c r="AO95" i="1"/>
  <c r="Y6" i="1"/>
  <c r="X3" i="27" s="1"/>
  <c r="A56" i="27" s="1"/>
  <c r="Z6" i="1"/>
  <c r="Y3" i="27" s="1"/>
  <c r="A57" i="27" s="1"/>
  <c r="AA6" i="1"/>
  <c r="Z3" i="27" s="1"/>
  <c r="A58" i="27" s="1"/>
  <c r="AB6" i="1"/>
  <c r="AA3" i="27" s="1"/>
  <c r="A59" i="27" s="1"/>
  <c r="AC6" i="1"/>
  <c r="AB3" i="27" s="1"/>
  <c r="A60" i="27" s="1"/>
  <c r="AD6" i="1"/>
  <c r="AC3" i="27" s="1"/>
  <c r="A61" i="27" s="1"/>
  <c r="AE6" i="1"/>
  <c r="AD3" i="27" s="1"/>
  <c r="A62" i="27" s="1"/>
  <c r="AF6" i="1"/>
  <c r="AE3" i="27" s="1"/>
  <c r="A63" i="27" s="1"/>
  <c r="AG6" i="1"/>
  <c r="AF3" i="27" s="1"/>
  <c r="A64" i="27" s="1"/>
  <c r="AH6" i="1"/>
  <c r="AG3" i="27" s="1"/>
  <c r="A65" i="27" s="1"/>
  <c r="AI6" i="1"/>
  <c r="AH3" i="27" s="1"/>
  <c r="A66" i="27" s="1"/>
  <c r="AJ6" i="1"/>
  <c r="AI3" i="27" s="1"/>
  <c r="A67" i="27" s="1"/>
  <c r="AK6" i="1"/>
  <c r="AJ3" i="27" s="1"/>
  <c r="A68" i="27" s="1"/>
  <c r="Y12" i="1"/>
  <c r="Z12" i="1"/>
  <c r="AA12" i="1"/>
  <c r="AB12" i="1"/>
  <c r="AC12" i="1"/>
  <c r="AD12" i="1"/>
  <c r="AE12" i="1"/>
  <c r="AF12" i="1"/>
  <c r="AG12" i="1"/>
  <c r="AH12" i="1"/>
  <c r="AI12" i="1"/>
  <c r="AJ12" i="1"/>
  <c r="AK12" i="1"/>
  <c r="Y13" i="1"/>
  <c r="Z13" i="1"/>
  <c r="AA13" i="1"/>
  <c r="AB13" i="1"/>
  <c r="AC13" i="1"/>
  <c r="AD13" i="1"/>
  <c r="AE13" i="1"/>
  <c r="AF13" i="1"/>
  <c r="AG13" i="1"/>
  <c r="AH13" i="1"/>
  <c r="AI13" i="1"/>
  <c r="AJ13" i="1"/>
  <c r="AK13" i="1"/>
  <c r="Y14" i="1"/>
  <c r="Z14" i="1"/>
  <c r="AA14" i="1"/>
  <c r="AB14" i="1"/>
  <c r="AC14" i="1"/>
  <c r="AD14" i="1"/>
  <c r="AE14" i="1"/>
  <c r="AF14" i="1"/>
  <c r="AG14" i="1"/>
  <c r="AH14" i="1"/>
  <c r="AI14" i="1"/>
  <c r="AJ14" i="1"/>
  <c r="AK14" i="1"/>
  <c r="Y15" i="1"/>
  <c r="Z15" i="1"/>
  <c r="AA15" i="1"/>
  <c r="AB15" i="1"/>
  <c r="AC15" i="1"/>
  <c r="AD15" i="1"/>
  <c r="AE15" i="1"/>
  <c r="AF15" i="1"/>
  <c r="AG15" i="1"/>
  <c r="AH15" i="1"/>
  <c r="AI15" i="1"/>
  <c r="AJ15" i="1"/>
  <c r="AK15" i="1"/>
  <c r="Y71" i="1"/>
  <c r="Y70" i="1" s="1"/>
  <c r="X24" i="27" s="1"/>
  <c r="Y56" i="27" s="1"/>
  <c r="Z71" i="1"/>
  <c r="Z70" i="1" s="1"/>
  <c r="Y24" i="27" s="1"/>
  <c r="Y57" i="27" s="1"/>
  <c r="AA71" i="1"/>
  <c r="AA70" i="1" s="1"/>
  <c r="Z24" i="27" s="1"/>
  <c r="Y58" i="27" s="1"/>
  <c r="AB71" i="1"/>
  <c r="AB70" i="1" s="1"/>
  <c r="AA24" i="27" s="1"/>
  <c r="Y59" i="27" s="1"/>
  <c r="AC71" i="1"/>
  <c r="AC70" i="1" s="1"/>
  <c r="AB24" i="27" s="1"/>
  <c r="Y60" i="27" s="1"/>
  <c r="AD71" i="1"/>
  <c r="AD70" i="1" s="1"/>
  <c r="AC24" i="27" s="1"/>
  <c r="Y61" i="27" s="1"/>
  <c r="AE71" i="1"/>
  <c r="AE70" i="1" s="1"/>
  <c r="AD24" i="27" s="1"/>
  <c r="Y62" i="27" s="1"/>
  <c r="AF71" i="1"/>
  <c r="AF70" i="1" s="1"/>
  <c r="AE24" i="27" s="1"/>
  <c r="Y63" i="27" s="1"/>
  <c r="AG71" i="1"/>
  <c r="AG70" i="1" s="1"/>
  <c r="AF24" i="27" s="1"/>
  <c r="Y64" i="27" s="1"/>
  <c r="AH71" i="1"/>
  <c r="AH70" i="1" s="1"/>
  <c r="AG24" i="27" s="1"/>
  <c r="Y65" i="27" s="1"/>
  <c r="AI71" i="1"/>
  <c r="AI70" i="1" s="1"/>
  <c r="AH24" i="27" s="1"/>
  <c r="Y66" i="27" s="1"/>
  <c r="AJ71" i="1"/>
  <c r="AJ70" i="1" s="1"/>
  <c r="AI24" i="27" s="1"/>
  <c r="Y67" i="27" s="1"/>
  <c r="AK71" i="1"/>
  <c r="AK70" i="1" s="1"/>
  <c r="AJ24" i="27" s="1"/>
  <c r="Y68" i="27" s="1"/>
  <c r="Y75" i="1"/>
  <c r="Z75" i="1"/>
  <c r="AA75" i="1"/>
  <c r="AB75" i="1"/>
  <c r="AC75" i="1"/>
  <c r="AD75" i="1"/>
  <c r="AE75" i="1"/>
  <c r="AF75" i="1"/>
  <c r="AG75" i="1"/>
  <c r="AH75" i="1"/>
  <c r="AI75" i="1"/>
  <c r="AJ75" i="1"/>
  <c r="AK75" i="1"/>
  <c r="Y76" i="1"/>
  <c r="Z76" i="1"/>
  <c r="AA76" i="1"/>
  <c r="AB76" i="1"/>
  <c r="AC76" i="1"/>
  <c r="AD76" i="1"/>
  <c r="AE76" i="1"/>
  <c r="AF76" i="1"/>
  <c r="AG76" i="1"/>
  <c r="AH76" i="1"/>
  <c r="AI76" i="1"/>
  <c r="AJ76" i="1"/>
  <c r="AK76" i="1"/>
  <c r="Y81" i="1"/>
  <c r="Z81" i="1"/>
  <c r="AA81" i="1"/>
  <c r="AB81" i="1"/>
  <c r="AC81" i="1"/>
  <c r="AD81" i="1"/>
  <c r="AE81" i="1"/>
  <c r="AF81" i="1"/>
  <c r="AG81" i="1"/>
  <c r="AH81" i="1"/>
  <c r="AI81" i="1"/>
  <c r="AJ81" i="1"/>
  <c r="AK81" i="1"/>
  <c r="Y85" i="1"/>
  <c r="Z85" i="1"/>
  <c r="AA85" i="1"/>
  <c r="AB85" i="1"/>
  <c r="AC85" i="1"/>
  <c r="AD85" i="1"/>
  <c r="AE85" i="1"/>
  <c r="AF85" i="1"/>
  <c r="AG85" i="1"/>
  <c r="AH85" i="1"/>
  <c r="AI85" i="1"/>
  <c r="AJ85" i="1"/>
  <c r="AK85" i="1"/>
  <c r="Y86" i="1"/>
  <c r="Z86" i="1"/>
  <c r="AA86" i="1"/>
  <c r="AB86" i="1"/>
  <c r="AC86" i="1"/>
  <c r="AD86" i="1"/>
  <c r="AE86" i="1"/>
  <c r="AF86" i="1"/>
  <c r="AG86" i="1"/>
  <c r="AH86" i="1"/>
  <c r="AI86" i="1"/>
  <c r="AJ86" i="1"/>
  <c r="AK86" i="1"/>
  <c r="Y91" i="1"/>
  <c r="Z91" i="1"/>
  <c r="AA91" i="1"/>
  <c r="AB91" i="1"/>
  <c r="AC91" i="1"/>
  <c r="AD91" i="1"/>
  <c r="AE91" i="1"/>
  <c r="AF91" i="1"/>
  <c r="AG91" i="1"/>
  <c r="AH91" i="1"/>
  <c r="AI91" i="1"/>
  <c r="AJ91" i="1"/>
  <c r="AK91" i="1"/>
  <c r="Y95" i="1"/>
  <c r="Z95" i="1"/>
  <c r="AA95" i="1"/>
  <c r="AB95" i="1"/>
  <c r="AC95" i="1"/>
  <c r="AD95" i="1"/>
  <c r="AE95" i="1"/>
  <c r="AF95" i="1"/>
  <c r="AG95" i="1"/>
  <c r="AH95" i="1"/>
  <c r="AI95" i="1"/>
  <c r="AJ95" i="1"/>
  <c r="AK95" i="1"/>
  <c r="E5" i="1"/>
  <c r="W6" i="1"/>
  <c r="T3" i="27" s="1"/>
  <c r="A52" i="27" s="1"/>
  <c r="X6" i="1"/>
  <c r="U3" i="27" s="1"/>
  <c r="A53" i="27" s="1"/>
  <c r="W12" i="1"/>
  <c r="X12" i="1"/>
  <c r="W13" i="1"/>
  <c r="X13" i="1"/>
  <c r="W14" i="1"/>
  <c r="X14" i="1"/>
  <c r="W15" i="1"/>
  <c r="X15" i="1"/>
  <c r="W71" i="1"/>
  <c r="W70" i="1" s="1"/>
  <c r="T24" i="27" s="1"/>
  <c r="Y52" i="27" s="1"/>
  <c r="X71" i="1"/>
  <c r="X70" i="1" s="1"/>
  <c r="U24" i="27" s="1"/>
  <c r="Y53" i="27" s="1"/>
  <c r="Y54" i="27"/>
  <c r="W75" i="1"/>
  <c r="X75" i="1"/>
  <c r="W76" i="1"/>
  <c r="X76" i="1"/>
  <c r="W81" i="1"/>
  <c r="X81" i="1"/>
  <c r="W85" i="1"/>
  <c r="X85" i="1"/>
  <c r="W86" i="1"/>
  <c r="X86" i="1"/>
  <c r="W91" i="1"/>
  <c r="X91" i="1"/>
  <c r="W95" i="1"/>
  <c r="X95" i="1"/>
  <c r="F6" i="1"/>
  <c r="C3" i="27" s="1"/>
  <c r="A35" i="27" s="1"/>
  <c r="G6" i="1"/>
  <c r="D3" i="27" s="1"/>
  <c r="A36" i="27" s="1"/>
  <c r="H6" i="1"/>
  <c r="E3" i="27" s="1"/>
  <c r="A37" i="27" s="1"/>
  <c r="I6" i="1"/>
  <c r="F3" i="27" s="1"/>
  <c r="A38" i="27" s="1"/>
  <c r="J6" i="1"/>
  <c r="G3" i="27" s="1"/>
  <c r="A39" i="27" s="1"/>
  <c r="K6" i="1"/>
  <c r="H3" i="27" s="1"/>
  <c r="A40" i="27" s="1"/>
  <c r="L6" i="1"/>
  <c r="I3" i="27" s="1"/>
  <c r="A41" i="27" s="1"/>
  <c r="M6" i="1"/>
  <c r="J3" i="27" s="1"/>
  <c r="A42" i="27" s="1"/>
  <c r="N6" i="1"/>
  <c r="K3" i="27" s="1"/>
  <c r="A43" i="27" s="1"/>
  <c r="O6" i="1"/>
  <c r="L3" i="27" s="1"/>
  <c r="A44" i="27" s="1"/>
  <c r="P6" i="1"/>
  <c r="M3" i="27" s="1"/>
  <c r="A45" i="27" s="1"/>
  <c r="Q6" i="1"/>
  <c r="N3" i="27" s="1"/>
  <c r="A46" i="27" s="1"/>
  <c r="R6" i="1"/>
  <c r="O3" i="27" s="1"/>
  <c r="A47" i="27" s="1"/>
  <c r="S6" i="1"/>
  <c r="P3" i="27" s="1"/>
  <c r="A48" i="27" s="1"/>
  <c r="T6" i="1"/>
  <c r="Q3" i="27" s="1"/>
  <c r="A49" i="27" s="1"/>
  <c r="U6" i="1"/>
  <c r="R3" i="27" s="1"/>
  <c r="A50" i="27" s="1"/>
  <c r="V6" i="1"/>
  <c r="S3" i="27" s="1"/>
  <c r="A51" i="27" s="1"/>
  <c r="F12" i="1"/>
  <c r="H12" i="1"/>
  <c r="I12" i="1"/>
  <c r="J12" i="1"/>
  <c r="K12" i="1"/>
  <c r="L12" i="1"/>
  <c r="M12" i="1"/>
  <c r="N12" i="1"/>
  <c r="O12" i="1"/>
  <c r="P12" i="1"/>
  <c r="Q12" i="1"/>
  <c r="R12" i="1"/>
  <c r="S12" i="1"/>
  <c r="T12" i="1"/>
  <c r="U12" i="1"/>
  <c r="V12" i="1"/>
  <c r="F13" i="1"/>
  <c r="G13" i="1"/>
  <c r="H13" i="1"/>
  <c r="I13" i="1"/>
  <c r="J13" i="1"/>
  <c r="K13" i="1"/>
  <c r="L13" i="1"/>
  <c r="M13" i="1"/>
  <c r="N13" i="1"/>
  <c r="O13" i="1"/>
  <c r="P13" i="1"/>
  <c r="Q13" i="1"/>
  <c r="R13" i="1"/>
  <c r="S13" i="1"/>
  <c r="T13" i="1"/>
  <c r="U13" i="1"/>
  <c r="V13" i="1"/>
  <c r="F14" i="1"/>
  <c r="G14" i="1"/>
  <c r="H14" i="1"/>
  <c r="I14" i="1"/>
  <c r="J14" i="1"/>
  <c r="K14" i="1"/>
  <c r="L14" i="1"/>
  <c r="M14" i="1"/>
  <c r="N14" i="1"/>
  <c r="O14" i="1"/>
  <c r="P14" i="1"/>
  <c r="Q14" i="1"/>
  <c r="R14" i="1"/>
  <c r="S14" i="1"/>
  <c r="T14" i="1"/>
  <c r="U14" i="1"/>
  <c r="V14" i="1"/>
  <c r="F15" i="1"/>
  <c r="G15" i="1"/>
  <c r="H15" i="1"/>
  <c r="I15" i="1"/>
  <c r="J15" i="1"/>
  <c r="K15" i="1"/>
  <c r="L15" i="1"/>
  <c r="M15" i="1"/>
  <c r="N15" i="1"/>
  <c r="O15" i="1"/>
  <c r="P15" i="1"/>
  <c r="Q15" i="1"/>
  <c r="R15" i="1"/>
  <c r="S15" i="1"/>
  <c r="T15" i="1"/>
  <c r="U15" i="1"/>
  <c r="V15" i="1"/>
  <c r="F71" i="1"/>
  <c r="F70" i="1" s="1"/>
  <c r="C24" i="27" s="1"/>
  <c r="Y35" i="27" s="1"/>
  <c r="G71" i="1"/>
  <c r="G70" i="1" s="1"/>
  <c r="D24" i="27" s="1"/>
  <c r="Y36" i="27" s="1"/>
  <c r="H71" i="1"/>
  <c r="H70" i="1" s="1"/>
  <c r="E24" i="27" s="1"/>
  <c r="Y37" i="27" s="1"/>
  <c r="I71" i="1"/>
  <c r="I70" i="1" s="1"/>
  <c r="F24" i="27" s="1"/>
  <c r="Y38" i="27" s="1"/>
  <c r="J71" i="1"/>
  <c r="J70" i="1" s="1"/>
  <c r="G24" i="27" s="1"/>
  <c r="Y39" i="27" s="1"/>
  <c r="K71" i="1"/>
  <c r="K70" i="1" s="1"/>
  <c r="H24" i="27" s="1"/>
  <c r="Y40" i="27" s="1"/>
  <c r="M71" i="1"/>
  <c r="M70" i="1" s="1"/>
  <c r="J24" i="27" s="1"/>
  <c r="Y42" i="27" s="1"/>
  <c r="N71" i="1"/>
  <c r="N70" i="1" s="1"/>
  <c r="K24" i="27" s="1"/>
  <c r="Y43" i="27" s="1"/>
  <c r="O71" i="1"/>
  <c r="O70" i="1" s="1"/>
  <c r="L24" i="27" s="1"/>
  <c r="Y44" i="27" s="1"/>
  <c r="P71" i="1"/>
  <c r="P70" i="1" s="1"/>
  <c r="M24" i="27" s="1"/>
  <c r="Y45" i="27" s="1"/>
  <c r="Q71" i="1"/>
  <c r="Q70" i="1" s="1"/>
  <c r="N24" i="27" s="1"/>
  <c r="Y46" i="27" s="1"/>
  <c r="R71" i="1"/>
  <c r="R70" i="1" s="1"/>
  <c r="O24" i="27" s="1"/>
  <c r="Y47" i="27" s="1"/>
  <c r="S71" i="1"/>
  <c r="S70" i="1" s="1"/>
  <c r="P24" i="27" s="1"/>
  <c r="Y48" i="27" s="1"/>
  <c r="T71" i="1"/>
  <c r="T70" i="1" s="1"/>
  <c r="Q24" i="27" s="1"/>
  <c r="Y49" i="27" s="1"/>
  <c r="U71" i="1"/>
  <c r="U70" i="1" s="1"/>
  <c r="R24" i="27" s="1"/>
  <c r="Y50" i="27" s="1"/>
  <c r="V71" i="1"/>
  <c r="V70" i="1" s="1"/>
  <c r="S24" i="27" s="1"/>
  <c r="Y51" i="27" s="1"/>
  <c r="F75" i="1"/>
  <c r="G75" i="1"/>
  <c r="H75" i="1"/>
  <c r="I75" i="1"/>
  <c r="J75" i="1"/>
  <c r="K75" i="1"/>
  <c r="L75" i="1"/>
  <c r="M75" i="1"/>
  <c r="N75" i="1"/>
  <c r="O75" i="1"/>
  <c r="P75" i="1"/>
  <c r="Q75" i="1"/>
  <c r="R75" i="1"/>
  <c r="S75" i="1"/>
  <c r="T75" i="1"/>
  <c r="U75" i="1"/>
  <c r="V75" i="1"/>
  <c r="F76" i="1"/>
  <c r="G76" i="1"/>
  <c r="H76" i="1"/>
  <c r="I76" i="1"/>
  <c r="J76" i="1"/>
  <c r="K76" i="1"/>
  <c r="L76" i="1"/>
  <c r="M76" i="1"/>
  <c r="N76" i="1"/>
  <c r="O76" i="1"/>
  <c r="P76" i="1"/>
  <c r="Q76" i="1"/>
  <c r="R76" i="1"/>
  <c r="S76" i="1"/>
  <c r="T76" i="1"/>
  <c r="U76" i="1"/>
  <c r="V76" i="1"/>
  <c r="F81" i="1"/>
  <c r="G81" i="1"/>
  <c r="H81" i="1"/>
  <c r="I81" i="1"/>
  <c r="J81" i="1"/>
  <c r="K81" i="1"/>
  <c r="L81" i="1"/>
  <c r="M81" i="1"/>
  <c r="N81" i="1"/>
  <c r="O81" i="1"/>
  <c r="P81" i="1"/>
  <c r="Q81" i="1"/>
  <c r="R81" i="1"/>
  <c r="S81" i="1"/>
  <c r="T81" i="1"/>
  <c r="U81" i="1"/>
  <c r="V81" i="1"/>
  <c r="F85" i="1"/>
  <c r="G85" i="1"/>
  <c r="H85" i="1"/>
  <c r="I85" i="1"/>
  <c r="J85" i="1"/>
  <c r="K85" i="1"/>
  <c r="L85" i="1"/>
  <c r="M85" i="1"/>
  <c r="N85" i="1"/>
  <c r="O85" i="1"/>
  <c r="P85" i="1"/>
  <c r="Q85" i="1"/>
  <c r="R85" i="1"/>
  <c r="S85" i="1"/>
  <c r="T85" i="1"/>
  <c r="U85" i="1"/>
  <c r="V85" i="1"/>
  <c r="F86" i="1"/>
  <c r="G86" i="1"/>
  <c r="H86" i="1"/>
  <c r="I86" i="1"/>
  <c r="J86" i="1"/>
  <c r="K86" i="1"/>
  <c r="L86" i="1"/>
  <c r="M86" i="1"/>
  <c r="N86" i="1"/>
  <c r="O86" i="1"/>
  <c r="P86" i="1"/>
  <c r="Q86" i="1"/>
  <c r="R86" i="1"/>
  <c r="S86" i="1"/>
  <c r="T86" i="1"/>
  <c r="U86" i="1"/>
  <c r="V86" i="1"/>
  <c r="F91" i="1"/>
  <c r="G91" i="1"/>
  <c r="H91" i="1"/>
  <c r="I91" i="1"/>
  <c r="J91" i="1"/>
  <c r="K91" i="1"/>
  <c r="L91" i="1"/>
  <c r="M91" i="1"/>
  <c r="N91" i="1"/>
  <c r="O91" i="1"/>
  <c r="P91" i="1"/>
  <c r="Q91" i="1"/>
  <c r="R91" i="1"/>
  <c r="S91" i="1"/>
  <c r="T91" i="1"/>
  <c r="U91" i="1"/>
  <c r="V91" i="1"/>
  <c r="F95" i="1"/>
  <c r="G95" i="1"/>
  <c r="H95" i="1"/>
  <c r="I95" i="1"/>
  <c r="J95" i="1"/>
  <c r="K95" i="1"/>
  <c r="L95" i="1"/>
  <c r="M95" i="1"/>
  <c r="N95" i="1"/>
  <c r="O95" i="1"/>
  <c r="P95" i="1"/>
  <c r="Q95" i="1"/>
  <c r="R95" i="1"/>
  <c r="S95" i="1"/>
  <c r="T95" i="1"/>
  <c r="U95" i="1"/>
  <c r="V95" i="1"/>
  <c r="E32" i="19"/>
  <c r="E31" i="19"/>
  <c r="E30" i="19"/>
  <c r="E29" i="19"/>
  <c r="E28" i="19"/>
  <c r="E27" i="19"/>
  <c r="E26" i="19"/>
  <c r="E25" i="19"/>
  <c r="E24" i="19"/>
  <c r="E23" i="19"/>
  <c r="E22" i="19"/>
  <c r="E21" i="19"/>
  <c r="E20" i="19"/>
  <c r="E19" i="19"/>
  <c r="E18" i="19"/>
  <c r="E17" i="19"/>
  <c r="E16" i="19"/>
  <c r="E15" i="19"/>
  <c r="E14" i="19"/>
  <c r="N33" i="19"/>
  <c r="N32" i="19"/>
  <c r="N31" i="19"/>
  <c r="N30" i="19"/>
  <c r="N29" i="19"/>
  <c r="N28" i="19"/>
  <c r="N27" i="19"/>
  <c r="N26" i="19"/>
  <c r="N25" i="19"/>
  <c r="N24" i="19"/>
  <c r="N23" i="19"/>
  <c r="N22" i="19"/>
  <c r="N21" i="19"/>
  <c r="N20" i="19"/>
  <c r="N19" i="19"/>
  <c r="N18" i="19"/>
  <c r="N17" i="19"/>
  <c r="N16" i="19"/>
  <c r="N15" i="19"/>
  <c r="N14" i="19"/>
  <c r="L33" i="19"/>
  <c r="L32" i="19"/>
  <c r="L31" i="19"/>
  <c r="L30" i="19"/>
  <c r="L29" i="19"/>
  <c r="L27" i="19"/>
  <c r="L28" i="19"/>
  <c r="L26" i="19"/>
  <c r="L25" i="19"/>
  <c r="L24" i="19"/>
  <c r="L23" i="19"/>
  <c r="L22" i="19"/>
  <c r="L21" i="19"/>
  <c r="L20" i="19"/>
  <c r="L19" i="19"/>
  <c r="L18" i="19"/>
  <c r="L17" i="19"/>
  <c r="L16" i="19"/>
  <c r="L15" i="19"/>
  <c r="R21" i="20" s="1"/>
  <c r="R20" i="20"/>
  <c r="J33" i="19"/>
  <c r="J32" i="19"/>
  <c r="J31" i="19"/>
  <c r="J30" i="19"/>
  <c r="J29" i="19"/>
  <c r="J28" i="19"/>
  <c r="J27" i="19"/>
  <c r="J26" i="19"/>
  <c r="J25" i="19"/>
  <c r="J24" i="19"/>
  <c r="J23" i="19"/>
  <c r="J22" i="19"/>
  <c r="J21" i="19"/>
  <c r="J20" i="19"/>
  <c r="J19" i="19"/>
  <c r="J18" i="19"/>
  <c r="J17" i="19"/>
  <c r="J16" i="19"/>
  <c r="J15" i="19"/>
  <c r="J14" i="19"/>
  <c r="I33" i="19"/>
  <c r="I32" i="19"/>
  <c r="I31" i="19"/>
  <c r="I30" i="19"/>
  <c r="I29" i="19"/>
  <c r="I14" i="19"/>
  <c r="D33" i="19"/>
  <c r="H39" i="20" s="1"/>
  <c r="D32" i="19"/>
  <c r="H38" i="20" s="1"/>
  <c r="D31" i="19"/>
  <c r="H37" i="20" s="1"/>
  <c r="D30" i="19"/>
  <c r="H36" i="20" s="1"/>
  <c r="D29" i="19"/>
  <c r="H35" i="20" s="1"/>
  <c r="D28" i="19"/>
  <c r="H34" i="20" s="1"/>
  <c r="D27" i="19"/>
  <c r="H33" i="20" s="1"/>
  <c r="D26" i="19"/>
  <c r="H32" i="20" s="1"/>
  <c r="D25" i="19"/>
  <c r="H31" i="20" s="1"/>
  <c r="D24" i="19"/>
  <c r="H30" i="20" s="1"/>
  <c r="D23" i="19"/>
  <c r="H29" i="20" s="1"/>
  <c r="D22" i="19"/>
  <c r="H28" i="20" s="1"/>
  <c r="I28" i="19"/>
  <c r="I27" i="19"/>
  <c r="I26" i="19"/>
  <c r="I25" i="19"/>
  <c r="I24" i="19"/>
  <c r="I23" i="19"/>
  <c r="I22" i="19"/>
  <c r="I21" i="19"/>
  <c r="I20" i="19"/>
  <c r="I19" i="19"/>
  <c r="I18" i="19"/>
  <c r="I17" i="19"/>
  <c r="I16" i="19"/>
  <c r="I15" i="19"/>
  <c r="E49" i="19"/>
  <c r="E48" i="19"/>
  <c r="E47" i="19"/>
  <c r="E46" i="19"/>
  <c r="E45" i="19"/>
  <c r="E44" i="19"/>
  <c r="E43" i="19"/>
  <c r="E42" i="19"/>
  <c r="E41" i="19"/>
  <c r="E40" i="19"/>
  <c r="E39" i="19"/>
  <c r="E38" i="19"/>
  <c r="D58" i="19" a="1"/>
  <c r="D58" i="19" s="1"/>
  <c r="E95" i="1"/>
  <c r="E91" i="1"/>
  <c r="E86" i="1"/>
  <c r="E85" i="1"/>
  <c r="E81" i="1"/>
  <c r="E76" i="1"/>
  <c r="E75" i="1"/>
  <c r="E71" i="1"/>
  <c r="E53" i="1"/>
  <c r="E51" i="1"/>
  <c r="E15" i="1"/>
  <c r="E14" i="1"/>
  <c r="E13" i="1"/>
  <c r="E12" i="1"/>
  <c r="E2" i="1"/>
  <c r="E3" i="1"/>
  <c r="D21" i="19"/>
  <c r="H27" i="20" s="1"/>
  <c r="D20" i="19"/>
  <c r="H26" i="20" s="1"/>
  <c r="D19" i="19"/>
  <c r="H25" i="20" s="1"/>
  <c r="D18" i="19"/>
  <c r="H24" i="20" s="1"/>
  <c r="D17" i="19"/>
  <c r="H23" i="20" s="1"/>
  <c r="D16" i="19"/>
  <c r="M22" i="20" s="1"/>
  <c r="D15" i="19"/>
  <c r="M21" i="20" s="1"/>
  <c r="D14" i="19"/>
  <c r="M20" i="20" s="1"/>
  <c r="E235" i="1" l="1"/>
  <c r="F63" i="14" s="1"/>
  <c r="H63" i="14" s="1"/>
  <c r="H20" i="20"/>
  <c r="J20" i="20"/>
  <c r="K20" i="20"/>
  <c r="H21" i="20"/>
  <c r="J21" i="20"/>
  <c r="K21" i="20"/>
  <c r="H22" i="20"/>
  <c r="J22" i="20"/>
  <c r="K22" i="20"/>
  <c r="G82" i="27"/>
  <c r="H82" i="27" s="1"/>
  <c r="O36" i="24" s="1"/>
  <c r="BB110" i="1"/>
  <c r="BD110" i="1" s="1"/>
  <c r="BB43" i="1"/>
  <c r="BD43" i="1" s="1"/>
  <c r="BC43" i="1"/>
  <c r="BB27" i="1"/>
  <c r="BD27" i="1" s="1"/>
  <c r="BC27" i="1"/>
  <c r="BB33" i="1"/>
  <c r="BD33" i="1" s="1"/>
  <c r="BC33" i="1"/>
  <c r="BB25" i="1"/>
  <c r="BD25" i="1" s="1"/>
  <c r="BC25" i="1"/>
  <c r="BB35" i="1"/>
  <c r="BC35" i="1"/>
  <c r="R22" i="20"/>
  <c r="P22" i="20"/>
  <c r="R23" i="20"/>
  <c r="P23" i="20"/>
  <c r="R24" i="20"/>
  <c r="P24" i="20"/>
  <c r="R25" i="20"/>
  <c r="P25" i="20"/>
  <c r="R26" i="20"/>
  <c r="P26" i="20"/>
  <c r="R27" i="20"/>
  <c r="P27" i="20"/>
  <c r="R28" i="20"/>
  <c r="P28" i="20"/>
  <c r="R29" i="20"/>
  <c r="P29" i="20"/>
  <c r="R30" i="20"/>
  <c r="P30" i="20"/>
  <c r="R31" i="20"/>
  <c r="P31" i="20"/>
  <c r="R32" i="20"/>
  <c r="P32" i="20"/>
  <c r="R34" i="20"/>
  <c r="P34" i="20"/>
  <c r="R33" i="20"/>
  <c r="P33" i="20"/>
  <c r="R35" i="20"/>
  <c r="P35" i="20"/>
  <c r="R36" i="20"/>
  <c r="P36" i="20"/>
  <c r="R37" i="20"/>
  <c r="P37" i="20"/>
  <c r="R38" i="20"/>
  <c r="P38" i="20"/>
  <c r="R39" i="20"/>
  <c r="P39" i="20"/>
  <c r="F20" i="14"/>
  <c r="F18" i="14"/>
  <c r="F26" i="14"/>
  <c r="F19" i="14"/>
  <c r="BB22" i="1"/>
  <c r="BD22" i="1" s="1"/>
  <c r="V84" i="1"/>
  <c r="V93" i="1"/>
  <c r="F84" i="1"/>
  <c r="F93" i="1"/>
  <c r="AE84" i="1"/>
  <c r="AE93" i="1"/>
  <c r="AM84" i="1"/>
  <c r="AM93" i="1"/>
  <c r="M84" i="1"/>
  <c r="M93" i="1"/>
  <c r="X84" i="1"/>
  <c r="X93" i="1"/>
  <c r="Z84" i="1"/>
  <c r="Z93" i="1"/>
  <c r="L84" i="1"/>
  <c r="L93" i="1"/>
  <c r="W84" i="1"/>
  <c r="W93" i="1"/>
  <c r="Y84" i="1"/>
  <c r="Y93" i="1"/>
  <c r="R84" i="1"/>
  <c r="R93" i="1"/>
  <c r="N84" i="1"/>
  <c r="N93" i="1"/>
  <c r="J84" i="1"/>
  <c r="J93" i="1"/>
  <c r="AI84" i="1"/>
  <c r="AI93" i="1"/>
  <c r="AA84" i="1"/>
  <c r="AA93" i="1"/>
  <c r="U84" i="1"/>
  <c r="U93" i="1"/>
  <c r="Q84" i="1"/>
  <c r="Q93" i="1"/>
  <c r="I84" i="1"/>
  <c r="I93" i="1"/>
  <c r="AH84" i="1"/>
  <c r="AH93" i="1"/>
  <c r="AD84" i="1"/>
  <c r="AD93" i="1"/>
  <c r="AL84" i="1"/>
  <c r="AL93" i="1"/>
  <c r="T84" i="1"/>
  <c r="T93" i="1"/>
  <c r="P84" i="1"/>
  <c r="P93" i="1"/>
  <c r="H84" i="1"/>
  <c r="H93" i="1"/>
  <c r="AK84" i="1"/>
  <c r="AK93" i="1"/>
  <c r="AG84" i="1"/>
  <c r="AG93" i="1"/>
  <c r="AC84" i="1"/>
  <c r="AC93" i="1"/>
  <c r="AO84" i="1"/>
  <c r="AO93" i="1"/>
  <c r="S84" i="1"/>
  <c r="S93" i="1"/>
  <c r="O84" i="1"/>
  <c r="O93" i="1"/>
  <c r="K84" i="1"/>
  <c r="K93" i="1"/>
  <c r="G84" i="1"/>
  <c r="G93" i="1"/>
  <c r="AJ84" i="1"/>
  <c r="AJ93" i="1"/>
  <c r="AF84" i="1"/>
  <c r="AF93" i="1"/>
  <c r="AB84" i="1"/>
  <c r="AB93" i="1"/>
  <c r="AN84" i="1"/>
  <c r="AN93" i="1"/>
  <c r="G24" i="1"/>
  <c r="G22" i="1"/>
  <c r="V22" i="1"/>
  <c r="V24" i="1"/>
  <c r="J19" i="1"/>
  <c r="J17" i="1" s="1"/>
  <c r="J22" i="1"/>
  <c r="J24" i="1"/>
  <c r="U22" i="1"/>
  <c r="U24" i="1"/>
  <c r="Q22" i="1"/>
  <c r="Q24" i="1"/>
  <c r="M24" i="1"/>
  <c r="M22" i="1"/>
  <c r="I22" i="1"/>
  <c r="I24" i="1"/>
  <c r="W25" i="1"/>
  <c r="W24" i="1"/>
  <c r="W22" i="1"/>
  <c r="O24" i="1"/>
  <c r="O22" i="1"/>
  <c r="K21" i="1"/>
  <c r="K24" i="1"/>
  <c r="K22" i="1"/>
  <c r="R22" i="1"/>
  <c r="R24" i="1"/>
  <c r="N22" i="1"/>
  <c r="N24" i="1"/>
  <c r="F19" i="1"/>
  <c r="F17" i="1" s="1"/>
  <c r="F22" i="1"/>
  <c r="F24" i="1"/>
  <c r="X24" i="1"/>
  <c r="X22" i="1"/>
  <c r="T24" i="1"/>
  <c r="T22" i="1"/>
  <c r="P24" i="1"/>
  <c r="P22" i="1"/>
  <c r="L24" i="1"/>
  <c r="L22" i="1"/>
  <c r="H24" i="1"/>
  <c r="H22" i="1"/>
  <c r="S21" i="1"/>
  <c r="S24" i="1"/>
  <c r="S22" i="1"/>
  <c r="BC74" i="1"/>
  <c r="J23" i="20"/>
  <c r="I23" i="20" s="1"/>
  <c r="M23" i="20"/>
  <c r="K23" i="20"/>
  <c r="J27" i="20"/>
  <c r="M27" i="20"/>
  <c r="K27" i="20"/>
  <c r="M25" i="20"/>
  <c r="J25" i="20"/>
  <c r="K25" i="20"/>
  <c r="K26" i="20"/>
  <c r="J26" i="20"/>
  <c r="M26" i="20"/>
  <c r="K24" i="20"/>
  <c r="M24" i="20"/>
  <c r="J24" i="20"/>
  <c r="BC73" i="1"/>
  <c r="BC75" i="1"/>
  <c r="BC71" i="1"/>
  <c r="BC72" i="1"/>
  <c r="E11" i="1"/>
  <c r="AS95" i="1"/>
  <c r="AS96" i="1"/>
  <c r="AS65" i="1"/>
  <c r="AS66" i="1"/>
  <c r="AS85" i="1"/>
  <c r="AS51" i="1"/>
  <c r="AS86" i="1"/>
  <c r="AS82" i="1"/>
  <c r="AS53" i="1"/>
  <c r="AS81" i="1"/>
  <c r="E70" i="1"/>
  <c r="B24" i="27" s="1"/>
  <c r="Y34" i="27" s="1"/>
  <c r="AS71" i="1"/>
  <c r="AS75" i="1"/>
  <c r="AS76" i="1"/>
  <c r="AS91" i="1"/>
  <c r="AS14" i="1"/>
  <c r="AS15" i="1"/>
  <c r="AS32" i="1"/>
  <c r="AS10" i="1"/>
  <c r="AS20" i="1"/>
  <c r="AS3" i="1"/>
  <c r="AS30" i="1"/>
  <c r="AS18" i="1"/>
  <c r="AS2" i="1"/>
  <c r="AS28" i="1"/>
  <c r="AS12" i="1"/>
  <c r="AS13" i="1"/>
  <c r="E4" i="1"/>
  <c r="E50" i="1"/>
  <c r="BD108" i="1"/>
  <c r="BB24" i="1"/>
  <c r="BD24" i="1" s="1"/>
  <c r="BD113" i="1"/>
  <c r="BD112" i="1"/>
  <c r="BB42" i="1"/>
  <c r="BD42" i="1" s="1"/>
  <c r="BD109" i="1"/>
  <c r="BB40" i="1"/>
  <c r="BD114" i="1"/>
  <c r="BB34" i="1"/>
  <c r="BD34" i="1" s="1"/>
  <c r="BD111" i="1"/>
  <c r="BB32" i="1"/>
  <c r="BD32" i="1" s="1"/>
  <c r="BB41" i="1"/>
  <c r="BD41" i="1" s="1"/>
  <c r="BB39" i="1"/>
  <c r="BD39" i="1" s="1"/>
  <c r="BB31" i="1"/>
  <c r="BD31" i="1" s="1"/>
  <c r="BB23" i="1"/>
  <c r="BD23" i="1" s="1"/>
  <c r="BB47" i="1"/>
  <c r="BD47" i="1" s="1"/>
  <c r="BB38" i="1"/>
  <c r="BD38" i="1" s="1"/>
  <c r="BB30" i="1"/>
  <c r="BD30" i="1" s="1"/>
  <c r="BB46" i="1"/>
  <c r="BD46" i="1" s="1"/>
  <c r="BB37" i="1"/>
  <c r="BD37" i="1" s="1"/>
  <c r="BB29" i="1"/>
  <c r="BD29" i="1" s="1"/>
  <c r="BB45" i="1"/>
  <c r="BD45" i="1" s="1"/>
  <c r="BB36" i="1"/>
  <c r="BD36" i="1" s="1"/>
  <c r="BB28" i="1"/>
  <c r="BD28" i="1" s="1"/>
  <c r="AO74" i="1"/>
  <c r="AN23" i="27" s="1"/>
  <c r="X72" i="27" s="1"/>
  <c r="O19" i="1"/>
  <c r="O17" i="1" s="1"/>
  <c r="AL74" i="1"/>
  <c r="AK23" i="27" s="1"/>
  <c r="X69" i="27" s="1"/>
  <c r="AI74" i="1"/>
  <c r="AH23" i="27" s="1"/>
  <c r="X66" i="27" s="1"/>
  <c r="AA74" i="1"/>
  <c r="Z23" i="27" s="1"/>
  <c r="X58" i="27" s="1"/>
  <c r="AG74" i="1"/>
  <c r="AF23" i="27" s="1"/>
  <c r="X64" i="27" s="1"/>
  <c r="Y74" i="1"/>
  <c r="X23" i="27" s="1"/>
  <c r="X56" i="27" s="1"/>
  <c r="AK31" i="1"/>
  <c r="AK29" i="1"/>
  <c r="AK27" i="1" s="1"/>
  <c r="AK33" i="1"/>
  <c r="AK34" i="1"/>
  <c r="Q25" i="1"/>
  <c r="Q21" i="1"/>
  <c r="I25" i="1"/>
  <c r="I21" i="1"/>
  <c r="AJ29" i="1"/>
  <c r="AJ27" i="1" s="1"/>
  <c r="AJ33" i="1"/>
  <c r="AJ34" i="1"/>
  <c r="AB29" i="1"/>
  <c r="AB27" i="1" s="1"/>
  <c r="AB33" i="1"/>
  <c r="AB34" i="1"/>
  <c r="AO31" i="1"/>
  <c r="AO29" i="1"/>
  <c r="AO27" i="1" s="1"/>
  <c r="AO33" i="1"/>
  <c r="AJ31" i="1"/>
  <c r="J25" i="1"/>
  <c r="J21" i="1"/>
  <c r="P25" i="1"/>
  <c r="P21" i="1"/>
  <c r="P19" i="1"/>
  <c r="P17" i="1" s="1"/>
  <c r="H25" i="1"/>
  <c r="H21" i="1"/>
  <c r="H19" i="1"/>
  <c r="H17" i="1" s="1"/>
  <c r="AK74" i="1"/>
  <c r="AJ23" i="27" s="1"/>
  <c r="X68" i="27" s="1"/>
  <c r="AC74" i="1"/>
  <c r="AB23" i="27" s="1"/>
  <c r="X60" i="27" s="1"/>
  <c r="AI33" i="1"/>
  <c r="AI34" i="1"/>
  <c r="AI31" i="1"/>
  <c r="AA33" i="1"/>
  <c r="AA34" i="1"/>
  <c r="AA31" i="1"/>
  <c r="AO11" i="1"/>
  <c r="AN31" i="1"/>
  <c r="AN29" i="1"/>
  <c r="AN27" i="1" s="1"/>
  <c r="AN33" i="1"/>
  <c r="AN34" i="1"/>
  <c r="I19" i="1"/>
  <c r="I17" i="1" s="1"/>
  <c r="AB31" i="1"/>
  <c r="O21" i="1"/>
  <c r="G21" i="1"/>
  <c r="AH34" i="1"/>
  <c r="AH31" i="1"/>
  <c r="AH29" i="1"/>
  <c r="AH27" i="1" s="1"/>
  <c r="Z34" i="1"/>
  <c r="Z31" i="1"/>
  <c r="Z29" i="1"/>
  <c r="Z27" i="1" s="1"/>
  <c r="AM31" i="1"/>
  <c r="AM29" i="1"/>
  <c r="AM27" i="1" s="1"/>
  <c r="AM33" i="1"/>
  <c r="AM34" i="1"/>
  <c r="G19" i="1"/>
  <c r="G17" i="1" s="1"/>
  <c r="O25" i="1"/>
  <c r="AH33" i="1"/>
  <c r="V21" i="1"/>
  <c r="V19" i="1"/>
  <c r="V17" i="1" s="1"/>
  <c r="V25" i="1"/>
  <c r="N21" i="1"/>
  <c r="N19" i="1"/>
  <c r="N17" i="1" s="1"/>
  <c r="N25" i="1"/>
  <c r="F21" i="1"/>
  <c r="F25" i="1"/>
  <c r="X25" i="1"/>
  <c r="X21" i="1"/>
  <c r="X19" i="1"/>
  <c r="X17" i="1" s="1"/>
  <c r="AG31" i="1"/>
  <c r="AG29" i="1"/>
  <c r="AG27" i="1" s="1"/>
  <c r="AG33" i="1"/>
  <c r="Y31" i="1"/>
  <c r="Y29" i="1"/>
  <c r="Y27" i="1" s="1"/>
  <c r="Y33" i="1"/>
  <c r="AL31" i="1"/>
  <c r="AL29" i="1"/>
  <c r="AL27" i="1" s="1"/>
  <c r="AL33" i="1"/>
  <c r="AL34" i="1"/>
  <c r="G25" i="1"/>
  <c r="Z33" i="1"/>
  <c r="AC31" i="1"/>
  <c r="AC29" i="1"/>
  <c r="AC27" i="1" s="1"/>
  <c r="AC33" i="1"/>
  <c r="AC34" i="1"/>
  <c r="U21" i="1"/>
  <c r="U19" i="1"/>
  <c r="U17" i="1" s="1"/>
  <c r="U25" i="1"/>
  <c r="M21" i="1"/>
  <c r="M19" i="1"/>
  <c r="M17" i="1" s="1"/>
  <c r="M25" i="1"/>
  <c r="W21" i="1"/>
  <c r="AF31" i="1"/>
  <c r="AF29" i="1"/>
  <c r="AF27" i="1" s="1"/>
  <c r="AF33" i="1"/>
  <c r="AF34" i="1"/>
  <c r="W19" i="1"/>
  <c r="W17" i="1" s="1"/>
  <c r="AO34" i="1"/>
  <c r="R25" i="1"/>
  <c r="R21" i="1"/>
  <c r="T21" i="1"/>
  <c r="T19" i="1"/>
  <c r="T17" i="1" s="1"/>
  <c r="T25" i="1"/>
  <c r="L21" i="1"/>
  <c r="L19" i="1"/>
  <c r="L17" i="1" s="1"/>
  <c r="L25" i="1"/>
  <c r="AE31" i="1"/>
  <c r="AE29" i="1"/>
  <c r="AE27" i="1" s="1"/>
  <c r="AE33" i="1"/>
  <c r="AE34" i="1"/>
  <c r="R19" i="1"/>
  <c r="R17" i="1" s="1"/>
  <c r="AI29" i="1"/>
  <c r="AI27" i="1" s="1"/>
  <c r="AG34" i="1"/>
  <c r="S19" i="1"/>
  <c r="S17" i="1" s="1"/>
  <c r="S25" i="1"/>
  <c r="K19" i="1"/>
  <c r="K17" i="1" s="1"/>
  <c r="K25" i="1"/>
  <c r="AD31" i="1"/>
  <c r="AD29" i="1"/>
  <c r="AD27" i="1" s="1"/>
  <c r="AD33" i="1"/>
  <c r="AD34" i="1"/>
  <c r="Q19" i="1"/>
  <c r="Q17" i="1" s="1"/>
  <c r="AA29" i="1"/>
  <c r="AA27" i="1" s="1"/>
  <c r="Y34" i="1"/>
  <c r="AM11" i="1"/>
  <c r="Z74" i="1"/>
  <c r="Y23" i="27" s="1"/>
  <c r="X57" i="27" s="1"/>
  <c r="AE74" i="1"/>
  <c r="AD23" i="27" s="1"/>
  <c r="X62" i="27" s="1"/>
  <c r="AN11" i="1"/>
  <c r="AN92" i="1" s="1"/>
  <c r="AN74" i="1"/>
  <c r="AM23" i="27" s="1"/>
  <c r="X71" i="27" s="1"/>
  <c r="AM74" i="1"/>
  <c r="AL23" i="27" s="1"/>
  <c r="X70" i="27" s="1"/>
  <c r="AL11" i="1"/>
  <c r="AL83" i="1" s="1"/>
  <c r="AG11" i="1"/>
  <c r="Y11" i="1"/>
  <c r="Y83" i="1" s="1"/>
  <c r="AJ11" i="1"/>
  <c r="AJ92" i="1" s="1"/>
  <c r="AB11" i="1"/>
  <c r="AB83" i="1" s="1"/>
  <c r="AF11" i="1"/>
  <c r="AH74" i="1"/>
  <c r="AG23" i="27" s="1"/>
  <c r="X65" i="27" s="1"/>
  <c r="AD74" i="1"/>
  <c r="AC23" i="27" s="1"/>
  <c r="X61" i="27" s="1"/>
  <c r="AI11" i="1"/>
  <c r="AI92" i="1" s="1"/>
  <c r="AA11" i="1"/>
  <c r="W74" i="1"/>
  <c r="T23" i="27" s="1"/>
  <c r="X52" i="27" s="1"/>
  <c r="X11" i="1"/>
  <c r="X83" i="1" s="1"/>
  <c r="X80" i="1" s="1"/>
  <c r="AH11" i="1"/>
  <c r="AH92" i="1" s="1"/>
  <c r="Z11" i="1"/>
  <c r="AD11" i="1"/>
  <c r="AF74" i="1"/>
  <c r="AE23" i="27" s="1"/>
  <c r="X63" i="27" s="1"/>
  <c r="AJ74" i="1"/>
  <c r="AI23" i="27" s="1"/>
  <c r="X67" i="27" s="1"/>
  <c r="AB74" i="1"/>
  <c r="AA23" i="27" s="1"/>
  <c r="X59" i="27" s="1"/>
  <c r="AK11" i="1"/>
  <c r="AC11" i="1"/>
  <c r="AE11" i="1"/>
  <c r="W11" i="1"/>
  <c r="V11" i="1"/>
  <c r="V83" i="1" s="1"/>
  <c r="N11" i="1"/>
  <c r="F11" i="1"/>
  <c r="F83" i="1" s="1"/>
  <c r="V74" i="1"/>
  <c r="S23" i="27" s="1"/>
  <c r="X51" i="27" s="1"/>
  <c r="N74" i="1"/>
  <c r="K23" i="27" s="1"/>
  <c r="X43" i="27" s="1"/>
  <c r="X74" i="1"/>
  <c r="U23" i="27" s="1"/>
  <c r="X53" i="27" s="1"/>
  <c r="F74" i="1"/>
  <c r="C23" i="27" s="1"/>
  <c r="X35" i="27" s="1"/>
  <c r="U74" i="1"/>
  <c r="R23" i="27" s="1"/>
  <c r="X50" i="27" s="1"/>
  <c r="M74" i="1"/>
  <c r="J23" i="27" s="1"/>
  <c r="X42" i="27" s="1"/>
  <c r="X54" i="27"/>
  <c r="P74" i="1"/>
  <c r="M23" i="27" s="1"/>
  <c r="X45" i="27" s="1"/>
  <c r="H74" i="1"/>
  <c r="E23" i="27" s="1"/>
  <c r="X37" i="27" s="1"/>
  <c r="T74" i="1"/>
  <c r="Q23" i="27" s="1"/>
  <c r="X49" i="27" s="1"/>
  <c r="L74" i="1"/>
  <c r="I23" i="27" s="1"/>
  <c r="X41" i="27" s="1"/>
  <c r="S74" i="1"/>
  <c r="P23" i="27" s="1"/>
  <c r="X48" i="27" s="1"/>
  <c r="K74" i="1"/>
  <c r="H23" i="27" s="1"/>
  <c r="X40" i="27" s="1"/>
  <c r="R74" i="1"/>
  <c r="O23" i="27" s="1"/>
  <c r="X47" i="27" s="1"/>
  <c r="J74" i="1"/>
  <c r="G23" i="27" s="1"/>
  <c r="X39" i="27" s="1"/>
  <c r="P11" i="1"/>
  <c r="H11" i="1"/>
  <c r="Q74" i="1"/>
  <c r="N23" i="27" s="1"/>
  <c r="X46" i="27" s="1"/>
  <c r="I74" i="1"/>
  <c r="F23" i="27" s="1"/>
  <c r="X38" i="27" s="1"/>
  <c r="Q11" i="1"/>
  <c r="I11" i="1"/>
  <c r="I83" i="1" s="1"/>
  <c r="O11" i="1"/>
  <c r="G11" i="1"/>
  <c r="G83" i="1" s="1"/>
  <c r="O74" i="1"/>
  <c r="L23" i="27" s="1"/>
  <c r="X44" i="27" s="1"/>
  <c r="G74" i="1"/>
  <c r="D23" i="27" s="1"/>
  <c r="X36" i="27" s="1"/>
  <c r="U11" i="1"/>
  <c r="M11" i="1"/>
  <c r="M83" i="1" s="1"/>
  <c r="T11" i="1"/>
  <c r="L11" i="1"/>
  <c r="L92" i="1" s="1"/>
  <c r="R11" i="1"/>
  <c r="J11" i="1"/>
  <c r="S11" i="1"/>
  <c r="K11" i="1"/>
  <c r="K92" i="1" s="1"/>
  <c r="E74" i="1"/>
  <c r="B23" i="27" s="1"/>
  <c r="X34" i="27" s="1"/>
  <c r="I80" i="1" l="1"/>
  <c r="Y80" i="1"/>
  <c r="F80" i="1"/>
  <c r="G80" i="1"/>
  <c r="AB80" i="1"/>
  <c r="G80" i="27"/>
  <c r="H80" i="27" s="1"/>
  <c r="O34" i="24" s="1"/>
  <c r="K68" i="14"/>
  <c r="AL80" i="1"/>
  <c r="V80" i="1"/>
  <c r="M80" i="1"/>
  <c r="BD44" i="1"/>
  <c r="AS70" i="1"/>
  <c r="AS74" i="1"/>
  <c r="AS50" i="1"/>
  <c r="AS34" i="1"/>
  <c r="AS33" i="1"/>
  <c r="AS27" i="1"/>
  <c r="AS29" i="1"/>
  <c r="AS31" i="1"/>
  <c r="AS11" i="1"/>
  <c r="AH26" i="1"/>
  <c r="AH94" i="1" s="1"/>
  <c r="K16" i="1"/>
  <c r="K94" i="1" s="1"/>
  <c r="S16" i="1"/>
  <c r="S94" i="1" s="1"/>
  <c r="AA26" i="1"/>
  <c r="AA94" i="1" s="1"/>
  <c r="AF92" i="1"/>
  <c r="AD83" i="1"/>
  <c r="AD80" i="1" s="1"/>
  <c r="R16" i="1"/>
  <c r="R94" i="1" s="1"/>
  <c r="X92" i="1"/>
  <c r="W16" i="1"/>
  <c r="W94" i="1" s="1"/>
  <c r="AL92" i="1"/>
  <c r="AO83" i="1"/>
  <c r="AO80" i="1" s="1"/>
  <c r="AI26" i="1"/>
  <c r="AI94" i="1" s="1"/>
  <c r="AK26" i="1"/>
  <c r="AK94" i="1" s="1"/>
  <c r="AF26" i="1"/>
  <c r="AF94" i="1" s="1"/>
  <c r="AL26" i="1"/>
  <c r="AL94" i="1" s="1"/>
  <c r="H16" i="1"/>
  <c r="H94" i="1" s="1"/>
  <c r="AO26" i="1"/>
  <c r="AO94" i="1" s="1"/>
  <c r="AO92" i="1"/>
  <c r="U16" i="1"/>
  <c r="U94" i="1" s="1"/>
  <c r="AF83" i="1"/>
  <c r="AF80" i="1" s="1"/>
  <c r="Z26" i="1"/>
  <c r="Z94" i="1" s="1"/>
  <c r="AJ26" i="1"/>
  <c r="AJ94" i="1" s="1"/>
  <c r="L16" i="1"/>
  <c r="L94" i="1" s="1"/>
  <c r="T16" i="1"/>
  <c r="T94" i="1" s="1"/>
  <c r="P16" i="1"/>
  <c r="P94" i="1" s="1"/>
  <c r="Z92" i="1"/>
  <c r="N16" i="1"/>
  <c r="N94" i="1" s="1"/>
  <c r="O16" i="1"/>
  <c r="O94" i="1" s="1"/>
  <c r="M16" i="1"/>
  <c r="M94" i="1" s="1"/>
  <c r="AD26" i="1"/>
  <c r="AD94" i="1" s="1"/>
  <c r="W83" i="1"/>
  <c r="W80" i="1" s="1"/>
  <c r="AN83" i="1"/>
  <c r="AN80" i="1" s="1"/>
  <c r="AG26" i="1"/>
  <c r="AG94" i="1" s="1"/>
  <c r="Q16" i="1"/>
  <c r="Q94" i="1" s="1"/>
  <c r="F16" i="1"/>
  <c r="F94" i="1" s="1"/>
  <c r="V16" i="1"/>
  <c r="V94" i="1" s="1"/>
  <c r="G16" i="1"/>
  <c r="G94" i="1" s="1"/>
  <c r="F92" i="1"/>
  <c r="AK83" i="1"/>
  <c r="AK80" i="1" s="1"/>
  <c r="AC26" i="1"/>
  <c r="AC94" i="1" s="1"/>
  <c r="X16" i="1"/>
  <c r="X94" i="1" s="1"/>
  <c r="AN26" i="1"/>
  <c r="AN94" i="1" s="1"/>
  <c r="AA92" i="1"/>
  <c r="AI83" i="1"/>
  <c r="AI80" i="1" s="1"/>
  <c r="AB26" i="1"/>
  <c r="AB94" i="1" s="1"/>
  <c r="AM26" i="1"/>
  <c r="AM94" i="1" s="1"/>
  <c r="J16" i="1"/>
  <c r="J94" i="1" s="1"/>
  <c r="AC92" i="1"/>
  <c r="I16" i="1"/>
  <c r="I94" i="1" s="1"/>
  <c r="Y26" i="1"/>
  <c r="Y94" i="1" s="1"/>
  <c r="AE26" i="1"/>
  <c r="AE94" i="1" s="1"/>
  <c r="N92" i="1"/>
  <c r="N83" i="1"/>
  <c r="N80" i="1" s="1"/>
  <c r="AC83" i="1"/>
  <c r="AC80" i="1" s="1"/>
  <c r="AA83" i="1"/>
  <c r="AA80" i="1" s="1"/>
  <c r="AK92" i="1"/>
  <c r="AM83" i="1"/>
  <c r="AM80" i="1" s="1"/>
  <c r="P83" i="1"/>
  <c r="P80" i="1" s="1"/>
  <c r="AM92" i="1"/>
  <c r="P92" i="1"/>
  <c r="AJ83" i="1"/>
  <c r="AJ80" i="1" s="1"/>
  <c r="Y92" i="1"/>
  <c r="AD92" i="1"/>
  <c r="I92" i="1"/>
  <c r="AB92" i="1"/>
  <c r="AG83" i="1"/>
  <c r="AG80" i="1" s="1"/>
  <c r="Z83" i="1"/>
  <c r="Z80" i="1" s="1"/>
  <c r="AG92" i="1"/>
  <c r="AH83" i="1"/>
  <c r="AH80" i="1" s="1"/>
  <c r="J92" i="1"/>
  <c r="AE83" i="1"/>
  <c r="AE80" i="1" s="1"/>
  <c r="AE92" i="1"/>
  <c r="H92" i="1"/>
  <c r="U92" i="1"/>
  <c r="V92" i="1"/>
  <c r="W92" i="1"/>
  <c r="K83" i="1"/>
  <c r="K80" i="1" s="1"/>
  <c r="O92" i="1"/>
  <c r="J83" i="1"/>
  <c r="J80" i="1" s="1"/>
  <c r="H83" i="1"/>
  <c r="H80" i="1" s="1"/>
  <c r="O83" i="1"/>
  <c r="O80" i="1" s="1"/>
  <c r="T92" i="1"/>
  <c r="G92" i="1"/>
  <c r="M92" i="1"/>
  <c r="Q83" i="1"/>
  <c r="Q80" i="1" s="1"/>
  <c r="T83" i="1"/>
  <c r="T80" i="1" s="1"/>
  <c r="U83" i="1"/>
  <c r="U80" i="1" s="1"/>
  <c r="L83" i="1"/>
  <c r="L80" i="1" s="1"/>
  <c r="S83" i="1"/>
  <c r="S80" i="1" s="1"/>
  <c r="S92" i="1"/>
  <c r="R83" i="1"/>
  <c r="R80" i="1" s="1"/>
  <c r="Q92" i="1"/>
  <c r="R92" i="1"/>
  <c r="E83" i="1"/>
  <c r="E92" i="1"/>
  <c r="W87" i="1" l="1"/>
  <c r="T14" i="27"/>
  <c r="O87" i="1"/>
  <c r="L14" i="27"/>
  <c r="S87" i="1"/>
  <c r="P14" i="27"/>
  <c r="M87" i="1"/>
  <c r="J14" i="27"/>
  <c r="Z87" i="1"/>
  <c r="Y14" i="27"/>
  <c r="AO87" i="1"/>
  <c r="AN14" i="27"/>
  <c r="R87" i="1"/>
  <c r="O14" i="27"/>
  <c r="F87" i="1"/>
  <c r="C14" i="27"/>
  <c r="X87" i="1"/>
  <c r="U14" i="27"/>
  <c r="N87" i="1"/>
  <c r="K14" i="27"/>
  <c r="I87" i="1"/>
  <c r="F14" i="27"/>
  <c r="AG87" i="1"/>
  <c r="AF14" i="27"/>
  <c r="Y87" i="1"/>
  <c r="X14" i="27"/>
  <c r="F15" i="14"/>
  <c r="H15" i="14"/>
  <c r="G87" i="1"/>
  <c r="D14" i="27"/>
  <c r="V87" i="1"/>
  <c r="S14" i="27"/>
  <c r="AB87" i="1"/>
  <c r="AA14" i="27"/>
  <c r="AK87" i="1"/>
  <c r="AJ14" i="27"/>
  <c r="AL87" i="1"/>
  <c r="AK14" i="27"/>
  <c r="F14" i="14"/>
  <c r="H14" i="14"/>
  <c r="AS83" i="1"/>
  <c r="AS92" i="1"/>
  <c r="AI90" i="1"/>
  <c r="AH90" i="1"/>
  <c r="AN90" i="1"/>
  <c r="G90" i="1"/>
  <c r="Q90" i="1"/>
  <c r="AJ90" i="1"/>
  <c r="F9" i="1"/>
  <c r="F8" i="1" s="1"/>
  <c r="C12" i="27" s="1"/>
  <c r="Z90" i="1"/>
  <c r="S9" i="1"/>
  <c r="S8" i="1" s="1"/>
  <c r="P12" i="27" s="1"/>
  <c r="I90" i="1"/>
  <c r="AA9" i="1"/>
  <c r="AA8" i="1" s="1"/>
  <c r="Z12" i="27" s="1"/>
  <c r="AJ9" i="1"/>
  <c r="AJ8" i="1" s="1"/>
  <c r="AI12" i="27" s="1"/>
  <c r="V9" i="1"/>
  <c r="V8" i="1" s="1"/>
  <c r="S12" i="27" s="1"/>
  <c r="K9" i="1"/>
  <c r="K8" i="1" s="1"/>
  <c r="H12" i="27" s="1"/>
  <c r="AC90" i="1"/>
  <c r="AA90" i="1"/>
  <c r="AO9" i="1"/>
  <c r="AO8" i="1" s="1"/>
  <c r="AN12" i="27" s="1"/>
  <c r="H90" i="1"/>
  <c r="AN9" i="1"/>
  <c r="AN8" i="1" s="1"/>
  <c r="AM12" i="27" s="1"/>
  <c r="Z9" i="1"/>
  <c r="Z8" i="1" s="1"/>
  <c r="Y12" i="27" s="1"/>
  <c r="V90" i="1"/>
  <c r="AE9" i="1"/>
  <c r="AE8" i="1" s="1"/>
  <c r="AD12" i="27" s="1"/>
  <c r="H9" i="1"/>
  <c r="H8" i="1" s="1"/>
  <c r="E12" i="27" s="1"/>
  <c r="J37" i="27" s="1"/>
  <c r="AF90" i="1"/>
  <c r="AL90" i="1"/>
  <c r="AO90" i="1"/>
  <c r="AF9" i="1"/>
  <c r="AF8" i="1" s="1"/>
  <c r="AE12" i="27" s="1"/>
  <c r="O9" i="1"/>
  <c r="O8" i="1" s="1"/>
  <c r="L12" i="27" s="1"/>
  <c r="X90" i="1"/>
  <c r="R90" i="1"/>
  <c r="AL9" i="1"/>
  <c r="AL8" i="1" s="1"/>
  <c r="AK12" i="27" s="1"/>
  <c r="AB90" i="1"/>
  <c r="I9" i="1"/>
  <c r="I8" i="1" s="1"/>
  <c r="F12" i="27" s="1"/>
  <c r="T9" i="1"/>
  <c r="T8" i="1" s="1"/>
  <c r="Q12" i="27" s="1"/>
  <c r="L9" i="1"/>
  <c r="L8" i="1" s="1"/>
  <c r="I12" i="27" s="1"/>
  <c r="W9" i="1"/>
  <c r="W8" i="1" s="1"/>
  <c r="T12" i="27" s="1"/>
  <c r="AK9" i="1"/>
  <c r="AK8" i="1" s="1"/>
  <c r="AJ12" i="27" s="1"/>
  <c r="AK90" i="1"/>
  <c r="J90" i="1"/>
  <c r="Y90" i="1"/>
  <c r="AI9" i="1"/>
  <c r="AI8" i="1" s="1"/>
  <c r="AH12" i="27" s="1"/>
  <c r="J9" i="1"/>
  <c r="J8" i="1" s="1"/>
  <c r="G12" i="27" s="1"/>
  <c r="P90" i="1"/>
  <c r="AE90" i="1"/>
  <c r="AH9" i="1"/>
  <c r="AH8" i="1" s="1"/>
  <c r="AG12" i="27" s="1"/>
  <c r="G9" i="1"/>
  <c r="G8" i="1" s="1"/>
  <c r="D12" i="27" s="1"/>
  <c r="AG9" i="1"/>
  <c r="AG8" i="1" s="1"/>
  <c r="AF12" i="27" s="1"/>
  <c r="AG90" i="1"/>
  <c r="W90" i="1"/>
  <c r="Q9" i="1"/>
  <c r="Q8" i="1" s="1"/>
  <c r="N12" i="27" s="1"/>
  <c r="N9" i="1"/>
  <c r="N8" i="1" s="1"/>
  <c r="K12" i="27" s="1"/>
  <c r="R9" i="1"/>
  <c r="R8" i="1" s="1"/>
  <c r="O12" i="27" s="1"/>
  <c r="M9" i="1"/>
  <c r="M8" i="1" s="1"/>
  <c r="J12" i="27" s="1"/>
  <c r="AC9" i="1"/>
  <c r="AC8" i="1" s="1"/>
  <c r="AB12" i="27" s="1"/>
  <c r="U9" i="1"/>
  <c r="U8" i="1" s="1"/>
  <c r="R12" i="27" s="1"/>
  <c r="AM90" i="1"/>
  <c r="Y9" i="1"/>
  <c r="Y8" i="1" s="1"/>
  <c r="X12" i="27" s="1"/>
  <c r="X9" i="1"/>
  <c r="X8" i="1" s="1"/>
  <c r="U12" i="27" s="1"/>
  <c r="AD9" i="1"/>
  <c r="AD8" i="1" s="1"/>
  <c r="AC12" i="27" s="1"/>
  <c r="P9" i="1"/>
  <c r="P8" i="1" s="1"/>
  <c r="M12" i="27" s="1"/>
  <c r="AM9" i="1"/>
  <c r="AM8" i="1" s="1"/>
  <c r="AL12" i="27" s="1"/>
  <c r="AB9" i="1"/>
  <c r="AB8" i="1" s="1"/>
  <c r="AA12" i="27" s="1"/>
  <c r="N90" i="1"/>
  <c r="AD90" i="1"/>
  <c r="F90" i="1"/>
  <c r="O90" i="1"/>
  <c r="U90" i="1"/>
  <c r="L90" i="1"/>
  <c r="M90" i="1"/>
  <c r="K90" i="1"/>
  <c r="T90" i="1"/>
  <c r="S90" i="1"/>
  <c r="AA15" i="27" l="1"/>
  <c r="M59" i="27" s="1"/>
  <c r="L59" i="27"/>
  <c r="X15" i="27"/>
  <c r="M56" i="27" s="1"/>
  <c r="L56" i="27"/>
  <c r="AN15" i="27"/>
  <c r="M72" i="27" s="1"/>
  <c r="L72" i="27"/>
  <c r="AK15" i="27"/>
  <c r="M69" i="27" s="1"/>
  <c r="L69" i="27"/>
  <c r="AJ15" i="27"/>
  <c r="M68" i="27" s="1"/>
  <c r="L68" i="27"/>
  <c r="AF15" i="27"/>
  <c r="M64" i="27" s="1"/>
  <c r="L64" i="27"/>
  <c r="Y15" i="27"/>
  <c r="M57" i="27" s="1"/>
  <c r="L57" i="27"/>
  <c r="AG13" i="27"/>
  <c r="K65" i="27" s="1"/>
  <c r="J65" i="27"/>
  <c r="AN13" i="27"/>
  <c r="K72" i="27" s="1"/>
  <c r="J72" i="27"/>
  <c r="AC13" i="27"/>
  <c r="K61" i="27" s="1"/>
  <c r="J61" i="27"/>
  <c r="AE13" i="27"/>
  <c r="K63" i="27" s="1"/>
  <c r="J63" i="27"/>
  <c r="AI13" i="27"/>
  <c r="K67" i="27" s="1"/>
  <c r="J67" i="27"/>
  <c r="Z13" i="27"/>
  <c r="K58" i="27" s="1"/>
  <c r="J58" i="27"/>
  <c r="AL13" i="27"/>
  <c r="K70" i="27" s="1"/>
  <c r="J70" i="27"/>
  <c r="X13" i="27"/>
  <c r="K56" i="27" s="1"/>
  <c r="J56" i="27"/>
  <c r="AB13" i="27"/>
  <c r="K60" i="27" s="1"/>
  <c r="J60" i="27"/>
  <c r="AK13" i="27"/>
  <c r="K69" i="27" s="1"/>
  <c r="J69" i="27"/>
  <c r="AM13" i="27"/>
  <c r="K71" i="27" s="1"/>
  <c r="J71" i="27"/>
  <c r="AH13" i="27"/>
  <c r="K66" i="27" s="1"/>
  <c r="J66" i="27"/>
  <c r="Y13" i="27"/>
  <c r="K57" i="27" s="1"/>
  <c r="J57" i="27"/>
  <c r="AA13" i="27"/>
  <c r="K59" i="27" s="1"/>
  <c r="J59" i="27"/>
  <c r="AJ13" i="27"/>
  <c r="K68" i="27" s="1"/>
  <c r="J68" i="27"/>
  <c r="AF13" i="27"/>
  <c r="K64" i="27" s="1"/>
  <c r="J64" i="27"/>
  <c r="AD13" i="27"/>
  <c r="K62" i="27" s="1"/>
  <c r="J62" i="27"/>
  <c r="J54" i="27"/>
  <c r="K54" i="27"/>
  <c r="J52" i="27"/>
  <c r="T13" i="27"/>
  <c r="K52" i="27" s="1"/>
  <c r="V97" i="1"/>
  <c r="S16" i="27"/>
  <c r="K97" i="1"/>
  <c r="H16" i="27"/>
  <c r="T87" i="1"/>
  <c r="Q14" i="27"/>
  <c r="K87" i="1"/>
  <c r="H14" i="27"/>
  <c r="H13" i="27"/>
  <c r="K40" i="27" s="1"/>
  <c r="J40" i="27"/>
  <c r="AI97" i="1"/>
  <c r="AH16" i="27"/>
  <c r="L47" i="27"/>
  <c r="O15" i="27"/>
  <c r="M47" i="27" s="1"/>
  <c r="S97" i="1"/>
  <c r="P16" i="27"/>
  <c r="Q87" i="1"/>
  <c r="N14" i="27"/>
  <c r="AD97" i="1"/>
  <c r="AC16" i="27"/>
  <c r="J47" i="27"/>
  <c r="O13" i="27"/>
  <c r="K47" i="27" s="1"/>
  <c r="J39" i="27"/>
  <c r="G13" i="27"/>
  <c r="K39" i="27" s="1"/>
  <c r="AB97" i="1"/>
  <c r="AA16" i="27"/>
  <c r="J44" i="27"/>
  <c r="L13" i="27"/>
  <c r="K44" i="27" s="1"/>
  <c r="AM87" i="1"/>
  <c r="AL14" i="27"/>
  <c r="AA97" i="1"/>
  <c r="Z16" i="27"/>
  <c r="AN97" i="1"/>
  <c r="AM16" i="27"/>
  <c r="L38" i="27"/>
  <c r="F15" i="27"/>
  <c r="M38" i="27" s="1"/>
  <c r="L35" i="27"/>
  <c r="C15" i="27"/>
  <c r="M35" i="27" s="1"/>
  <c r="L48" i="27"/>
  <c r="P15" i="27"/>
  <c r="M48" i="27" s="1"/>
  <c r="T97" i="1"/>
  <c r="Q16" i="27"/>
  <c r="N97" i="1"/>
  <c r="K16" i="27"/>
  <c r="I97" i="1"/>
  <c r="F16" i="27"/>
  <c r="L87" i="1"/>
  <c r="I14" i="27"/>
  <c r="AN87" i="1"/>
  <c r="AM14" i="27"/>
  <c r="AO97" i="1"/>
  <c r="AN16" i="27"/>
  <c r="L51" i="27"/>
  <c r="S15" i="27"/>
  <c r="M51" i="27" s="1"/>
  <c r="J43" i="27"/>
  <c r="K13" i="27"/>
  <c r="K43" i="27" s="1"/>
  <c r="AE87" i="1"/>
  <c r="AD14" i="27"/>
  <c r="AF87" i="1"/>
  <c r="AE14" i="27"/>
  <c r="L43" i="27"/>
  <c r="K15" i="27"/>
  <c r="M43" i="27" s="1"/>
  <c r="L44" i="27"/>
  <c r="L15" i="27"/>
  <c r="M44" i="27" s="1"/>
  <c r="M97" i="1"/>
  <c r="J16" i="27"/>
  <c r="O97" i="1"/>
  <c r="L16" i="27"/>
  <c r="J45" i="27"/>
  <c r="M13" i="27"/>
  <c r="K45" i="27" s="1"/>
  <c r="Y97" i="1"/>
  <c r="X16" i="27"/>
  <c r="AL97" i="1"/>
  <c r="AK16" i="27"/>
  <c r="J51" i="27"/>
  <c r="S13" i="27"/>
  <c r="K51" i="27" s="1"/>
  <c r="L97" i="1"/>
  <c r="I16" i="27"/>
  <c r="AJ87" i="1"/>
  <c r="AI14" i="27"/>
  <c r="W97" i="1"/>
  <c r="T16" i="27"/>
  <c r="AE97" i="1"/>
  <c r="AD16" i="27"/>
  <c r="J97" i="1"/>
  <c r="G16" i="27"/>
  <c r="J49" i="27"/>
  <c r="Q13" i="27"/>
  <c r="K49" i="27" s="1"/>
  <c r="X97" i="1"/>
  <c r="U16" i="27"/>
  <c r="AF97" i="1"/>
  <c r="AE16" i="27"/>
  <c r="AA87" i="1"/>
  <c r="Z14" i="27"/>
  <c r="J48" i="27"/>
  <c r="P13" i="27"/>
  <c r="K48" i="27" s="1"/>
  <c r="L36" i="27"/>
  <c r="D15" i="27"/>
  <c r="M36" i="27" s="1"/>
  <c r="L53" i="27"/>
  <c r="U15" i="27"/>
  <c r="M53" i="27" s="1"/>
  <c r="L42" i="27"/>
  <c r="J15" i="27"/>
  <c r="M42" i="27" s="1"/>
  <c r="L52" i="27"/>
  <c r="T15" i="27"/>
  <c r="M52" i="27" s="1"/>
  <c r="U97" i="1"/>
  <c r="R16" i="27"/>
  <c r="AM97" i="1"/>
  <c r="AL16" i="27"/>
  <c r="AI87" i="1"/>
  <c r="AH14" i="27"/>
  <c r="AC97" i="1"/>
  <c r="AB16" i="27"/>
  <c r="AJ97" i="1"/>
  <c r="AI16" i="27"/>
  <c r="AH97" i="1"/>
  <c r="AG16" i="27"/>
  <c r="J46" i="27"/>
  <c r="N13" i="27"/>
  <c r="K46" i="27" s="1"/>
  <c r="Q97" i="1"/>
  <c r="N16" i="27"/>
  <c r="J50" i="27"/>
  <c r="R13" i="27"/>
  <c r="K50" i="27" s="1"/>
  <c r="I13" i="27"/>
  <c r="K41" i="27" s="1"/>
  <c r="J41" i="27"/>
  <c r="R97" i="1"/>
  <c r="O16" i="27"/>
  <c r="AC87" i="1"/>
  <c r="AB14" i="27"/>
  <c r="AD87" i="1"/>
  <c r="AC14" i="27"/>
  <c r="U87" i="1"/>
  <c r="R14" i="27"/>
  <c r="H87" i="1"/>
  <c r="E14" i="27"/>
  <c r="P87" i="1"/>
  <c r="M14" i="27"/>
  <c r="J53" i="27"/>
  <c r="U13" i="27"/>
  <c r="K53" i="27" s="1"/>
  <c r="J42" i="27"/>
  <c r="J13" i="27"/>
  <c r="K42" i="27" s="1"/>
  <c r="AG97" i="1"/>
  <c r="AF16" i="27"/>
  <c r="P97" i="1"/>
  <c r="M16" i="27"/>
  <c r="AK97" i="1"/>
  <c r="AJ16" i="27"/>
  <c r="J38" i="27"/>
  <c r="F13" i="27"/>
  <c r="K38" i="27" s="1"/>
  <c r="J87" i="1"/>
  <c r="G14" i="27"/>
  <c r="Z97" i="1"/>
  <c r="Y16" i="27"/>
  <c r="AH87" i="1"/>
  <c r="AG14" i="27"/>
  <c r="H97" i="1"/>
  <c r="E16" i="27"/>
  <c r="N37" i="27" s="1"/>
  <c r="E13" i="27"/>
  <c r="K37" i="27" s="1"/>
  <c r="D13" i="27"/>
  <c r="K36" i="27" s="1"/>
  <c r="J36" i="27"/>
  <c r="G97" i="1"/>
  <c r="D16" i="27"/>
  <c r="J35" i="27"/>
  <c r="C13" i="27"/>
  <c r="K35" i="27" s="1"/>
  <c r="F97" i="1"/>
  <c r="C16" i="27"/>
  <c r="AS26" i="1"/>
  <c r="BA118" i="1"/>
  <c r="BA117" i="1"/>
  <c r="BA119" i="1"/>
  <c r="BA120" i="1"/>
  <c r="BA121" i="1"/>
  <c r="BA122" i="1"/>
  <c r="BA123" i="1"/>
  <c r="BA124" i="1"/>
  <c r="BA125" i="1"/>
  <c r="BA116" i="1"/>
  <c r="AY125" i="1"/>
  <c r="BB125" i="1" s="1"/>
  <c r="AY124" i="1"/>
  <c r="BB124" i="1" s="1"/>
  <c r="AY123" i="1"/>
  <c r="BB123" i="1" s="1"/>
  <c r="AY122" i="1"/>
  <c r="BB122" i="1" s="1"/>
  <c r="AY121" i="1"/>
  <c r="BB121" i="1" s="1"/>
  <c r="AY120" i="1"/>
  <c r="BB120" i="1" s="1"/>
  <c r="AY119" i="1"/>
  <c r="BB119" i="1" s="1"/>
  <c r="AY118" i="1"/>
  <c r="BB118" i="1" s="1"/>
  <c r="AY117" i="1"/>
  <c r="BB117" i="1" s="1"/>
  <c r="AY116" i="1"/>
  <c r="BB116" i="1" s="1"/>
  <c r="BD18" i="1"/>
  <c r="AY15" i="1"/>
  <c r="AZ15" i="1"/>
  <c r="BB15" i="1" s="1"/>
  <c r="AY16" i="1"/>
  <c r="AZ16" i="1"/>
  <c r="BB16" i="1" s="1"/>
  <c r="AY17" i="1"/>
  <c r="AZ17" i="1"/>
  <c r="BB17" i="1" s="1"/>
  <c r="BA17" i="1"/>
  <c r="F17" i="14" s="1"/>
  <c r="AZ14" i="1"/>
  <c r="BB14" i="1" s="1"/>
  <c r="AY14" i="1"/>
  <c r="AY4" i="1"/>
  <c r="AZ4" i="1"/>
  <c r="BA4" i="1"/>
  <c r="AZ145" i="1" s="1"/>
  <c r="AY5" i="1"/>
  <c r="AZ5" i="1"/>
  <c r="BA5" i="1"/>
  <c r="AZ146" i="1" s="1"/>
  <c r="AY6" i="1"/>
  <c r="AZ6" i="1"/>
  <c r="BA6" i="1"/>
  <c r="AZ147" i="1" s="1"/>
  <c r="BA3" i="1"/>
  <c r="AZ144" i="1" s="1"/>
  <c r="AZ3" i="1"/>
  <c r="AY3" i="1"/>
  <c r="E334" i="1"/>
  <c r="E332" i="1" s="1"/>
  <c r="E329" i="1"/>
  <c r="E328" i="1"/>
  <c r="E471" i="1"/>
  <c r="E464" i="1"/>
  <c r="E451" i="1" s="1"/>
  <c r="E450" i="1" s="1"/>
  <c r="E447" i="1"/>
  <c r="E446" i="1"/>
  <c r="E445" i="1"/>
  <c r="E412" i="1"/>
  <c r="E56" i="1" s="1"/>
  <c r="E418" i="1"/>
  <c r="E382" i="1"/>
  <c r="E368" i="1"/>
  <c r="E361" i="1"/>
  <c r="E360" i="1"/>
  <c r="E359" i="1"/>
  <c r="E354" i="1"/>
  <c r="E353" i="1"/>
  <c r="E381" i="1"/>
  <c r="E283" i="1"/>
  <c r="E284" i="1"/>
  <c r="E263" i="1"/>
  <c r="E278" i="1"/>
  <c r="E277" i="1"/>
  <c r="E304" i="1"/>
  <c r="E264" i="1"/>
  <c r="E259" i="1"/>
  <c r="E257" i="1" s="1"/>
  <c r="E254" i="1"/>
  <c r="E253" i="1"/>
  <c r="E249" i="1"/>
  <c r="E248" i="1"/>
  <c r="E160" i="1"/>
  <c r="E153" i="1"/>
  <c r="E126" i="1"/>
  <c r="E125" i="1"/>
  <c r="E119" i="1"/>
  <c r="E114" i="1"/>
  <c r="E112" i="1"/>
  <c r="E106" i="1"/>
  <c r="E107" i="1"/>
  <c r="D3" i="19"/>
  <c r="E23" i="1"/>
  <c r="AS23" i="1" s="1"/>
  <c r="E6" i="1"/>
  <c r="B3" i="27" s="1"/>
  <c r="A34" i="27" s="1"/>
  <c r="E52" i="1"/>
  <c r="B96" i="7"/>
  <c r="EO56" i="27" l="1"/>
  <c r="EE56" i="27"/>
  <c r="ET56" i="27"/>
  <c r="EJ56" i="27"/>
  <c r="DZ56" i="27"/>
  <c r="DK56" i="27"/>
  <c r="DU56" i="27"/>
  <c r="DF56" i="27"/>
  <c r="DP56" i="27"/>
  <c r="FS56" i="27"/>
  <c r="FX56" i="27"/>
  <c r="FN56" i="27"/>
  <c r="DA56" i="27"/>
  <c r="FI56" i="27"/>
  <c r="CV56" i="27"/>
  <c r="EY56" i="27"/>
  <c r="FD56" i="27"/>
  <c r="CG56" i="27"/>
  <c r="BM56" i="27"/>
  <c r="AS56" i="27"/>
  <c r="FS49" i="27"/>
  <c r="EY49" i="27"/>
  <c r="EE49" i="27"/>
  <c r="DK49" i="27"/>
  <c r="CQ49" i="27"/>
  <c r="BW49" i="27"/>
  <c r="BC49" i="27"/>
  <c r="FX47" i="27"/>
  <c r="FX41" i="27"/>
  <c r="FS46" i="27"/>
  <c r="FS40" i="27"/>
  <c r="FN43" i="27"/>
  <c r="FI48" i="27"/>
  <c r="FI42" i="27"/>
  <c r="FD47" i="27"/>
  <c r="FD41" i="27"/>
  <c r="EY46" i="27"/>
  <c r="EY40" i="27"/>
  <c r="ET43" i="27"/>
  <c r="EO48" i="27"/>
  <c r="EO42" i="27"/>
  <c r="EJ47" i="27"/>
  <c r="EJ41" i="27"/>
  <c r="EE46" i="27"/>
  <c r="EE40" i="27"/>
  <c r="DZ43" i="27"/>
  <c r="DU48" i="27"/>
  <c r="DU42" i="27"/>
  <c r="DP47" i="27"/>
  <c r="DP41" i="27"/>
  <c r="DK46" i="27"/>
  <c r="DK40" i="27"/>
  <c r="DF43" i="27"/>
  <c r="DA48" i="27"/>
  <c r="DA42" i="27"/>
  <c r="CV47" i="27"/>
  <c r="CV41" i="27"/>
  <c r="CQ46" i="27"/>
  <c r="CQ40" i="27"/>
  <c r="CL43" i="27"/>
  <c r="CG48" i="27"/>
  <c r="CG42" i="27"/>
  <c r="CB47" i="27"/>
  <c r="CB41" i="27"/>
  <c r="BW46" i="27"/>
  <c r="BW40" i="27"/>
  <c r="BR43" i="27"/>
  <c r="BM48" i="27"/>
  <c r="BM42" i="27"/>
  <c r="CB56" i="27"/>
  <c r="BH56" i="27"/>
  <c r="AN56" i="27"/>
  <c r="FN49" i="27"/>
  <c r="ET49" i="27"/>
  <c r="DZ49" i="27"/>
  <c r="DF49" i="27"/>
  <c r="CL49" i="27"/>
  <c r="BR49" i="27"/>
  <c r="AX49" i="27"/>
  <c r="FX46" i="27"/>
  <c r="FX40" i="27"/>
  <c r="FS43" i="27"/>
  <c r="FN48" i="27"/>
  <c r="FN42" i="27"/>
  <c r="FI47" i="27"/>
  <c r="FI41" i="27"/>
  <c r="FD46" i="27"/>
  <c r="FD40" i="27"/>
  <c r="EY43" i="27"/>
  <c r="ET48" i="27"/>
  <c r="ET42" i="27"/>
  <c r="EO47" i="27"/>
  <c r="EO41" i="27"/>
  <c r="EJ46" i="27"/>
  <c r="EJ40" i="27"/>
  <c r="EE43" i="27"/>
  <c r="DZ48" i="27"/>
  <c r="DZ42" i="27"/>
  <c r="DU47" i="27"/>
  <c r="DU41" i="27"/>
  <c r="DP46" i="27"/>
  <c r="DP40" i="27"/>
  <c r="DK43" i="27"/>
  <c r="DF48" i="27"/>
  <c r="DF42" i="27"/>
  <c r="DA47" i="27"/>
  <c r="DA41" i="27"/>
  <c r="CV46" i="27"/>
  <c r="CV40" i="27"/>
  <c r="CQ43" i="27"/>
  <c r="CL48" i="27"/>
  <c r="CL42" i="27"/>
  <c r="CG47" i="27"/>
  <c r="CG41" i="27"/>
  <c r="CB46" i="27"/>
  <c r="CB40" i="27"/>
  <c r="BW43" i="27"/>
  <c r="BR48" i="27"/>
  <c r="BR42" i="27"/>
  <c r="BM47" i="27"/>
  <c r="BM41" i="27"/>
  <c r="BH46" i="27"/>
  <c r="BH40" i="27"/>
  <c r="BC43" i="27"/>
  <c r="AX48" i="27"/>
  <c r="AX42" i="27"/>
  <c r="BW56" i="27"/>
  <c r="AI56" i="27"/>
  <c r="EO49" i="27"/>
  <c r="DA49" i="27"/>
  <c r="BM49" i="27"/>
  <c r="FX43" i="27"/>
  <c r="FS42" i="27"/>
  <c r="FN41" i="27"/>
  <c r="FI40" i="27"/>
  <c r="EY48" i="27"/>
  <c r="ET47" i="27"/>
  <c r="EO46" i="27"/>
  <c r="EJ43" i="27"/>
  <c r="EE42" i="27"/>
  <c r="DZ41" i="27"/>
  <c r="DU40" i="27"/>
  <c r="DK48" i="27"/>
  <c r="DF47" i="27"/>
  <c r="DA46" i="27"/>
  <c r="CV43" i="27"/>
  <c r="CQ42" i="27"/>
  <c r="CL41" i="27"/>
  <c r="CG40" i="27"/>
  <c r="BW48" i="27"/>
  <c r="BR47" i="27"/>
  <c r="BM46" i="27"/>
  <c r="BH47" i="27"/>
  <c r="BC48" i="27"/>
  <c r="BC41" i="27"/>
  <c r="AX43" i="27"/>
  <c r="AS47" i="27"/>
  <c r="AS41" i="27"/>
  <c r="AN46" i="27"/>
  <c r="AN40" i="27"/>
  <c r="BR56" i="27"/>
  <c r="FX49" i="27"/>
  <c r="EJ49" i="27"/>
  <c r="CV49" i="27"/>
  <c r="BH49" i="27"/>
  <c r="FX42" i="27"/>
  <c r="FS41" i="27"/>
  <c r="FN40" i="27"/>
  <c r="FD48" i="27"/>
  <c r="BC56" i="27"/>
  <c r="DU49" i="27"/>
  <c r="AS49" i="27"/>
  <c r="FN47" i="27"/>
  <c r="FD43" i="27"/>
  <c r="EY41" i="27"/>
  <c r="EO43" i="27"/>
  <c r="EE48" i="27"/>
  <c r="DZ46" i="27"/>
  <c r="DP48" i="27"/>
  <c r="DK42" i="27"/>
  <c r="DF40" i="27"/>
  <c r="CV42" i="27"/>
  <c r="CL47" i="27"/>
  <c r="CG43" i="27"/>
  <c r="BW47" i="27"/>
  <c r="BR41" i="27"/>
  <c r="BH48" i="27"/>
  <c r="BC47" i="27"/>
  <c r="AX47" i="27"/>
  <c r="AS48" i="27"/>
  <c r="AS40" i="27"/>
  <c r="AN42" i="27"/>
  <c r="AX56" i="27"/>
  <c r="DP49" i="27"/>
  <c r="DR49" i="27" s="1"/>
  <c r="AN49" i="27"/>
  <c r="FX48" i="27"/>
  <c r="FN46" i="27"/>
  <c r="FD42" i="27"/>
  <c r="ET46" i="27"/>
  <c r="EO40" i="27"/>
  <c r="EE47" i="27"/>
  <c r="DZ40" i="27"/>
  <c r="DP43" i="27"/>
  <c r="DK41" i="27"/>
  <c r="DA43" i="27"/>
  <c r="CQ48" i="27"/>
  <c r="CL46" i="27"/>
  <c r="CB48" i="27"/>
  <c r="BW42" i="27"/>
  <c r="BR40" i="27"/>
  <c r="BH43" i="27"/>
  <c r="BC46" i="27"/>
  <c r="AX46" i="27"/>
  <c r="AS46" i="27"/>
  <c r="AN48" i="27"/>
  <c r="AN41" i="27"/>
  <c r="FI49" i="27"/>
  <c r="FS48" i="27"/>
  <c r="EY47" i="27"/>
  <c r="EJ48" i="27"/>
  <c r="DU46" i="27"/>
  <c r="DF46" i="27"/>
  <c r="CL40" i="27"/>
  <c r="BW41" i="27"/>
  <c r="BH42" i="27"/>
  <c r="AX41" i="27"/>
  <c r="AN47" i="27"/>
  <c r="CL56" i="27"/>
  <c r="CB49" i="27"/>
  <c r="FS47" i="27"/>
  <c r="EY42" i="27"/>
  <c r="EJ42" i="27"/>
  <c r="DU43" i="27"/>
  <c r="DF41" i="27"/>
  <c r="CQ41" i="27"/>
  <c r="CB42" i="27"/>
  <c r="BM40" i="27"/>
  <c r="BC40" i="27"/>
  <c r="AX40" i="27"/>
  <c r="CQ56" i="27"/>
  <c r="CG49" i="27"/>
  <c r="FI46" i="27"/>
  <c r="ET41" i="27"/>
  <c r="EE41" i="27"/>
  <c r="DP42" i="27"/>
  <c r="DA40" i="27"/>
  <c r="CQ47" i="27"/>
  <c r="CB43" i="27"/>
  <c r="BM43" i="27"/>
  <c r="BC42" i="27"/>
  <c r="AS43" i="27"/>
  <c r="FD49" i="27"/>
  <c r="FI43" i="27"/>
  <c r="ET40" i="27"/>
  <c r="DZ47" i="27"/>
  <c r="DK47" i="27"/>
  <c r="CV48" i="27"/>
  <c r="CG46" i="27"/>
  <c r="BR46" i="27"/>
  <c r="BH41" i="27"/>
  <c r="AS42" i="27"/>
  <c r="AN43" i="27"/>
  <c r="E465" i="1"/>
  <c r="E463" i="1" s="1"/>
  <c r="B119" i="27"/>
  <c r="B122" i="27" s="1"/>
  <c r="Q83" i="27" s="1"/>
  <c r="R83" i="27" s="1"/>
  <c r="U37" i="24" s="1"/>
  <c r="AI43" i="27"/>
  <c r="AI47" i="27"/>
  <c r="AI40" i="27"/>
  <c r="AI42" i="27"/>
  <c r="AI46" i="27"/>
  <c r="AI48" i="27"/>
  <c r="AI49" i="27"/>
  <c r="AI41" i="27"/>
  <c r="AB15" i="27"/>
  <c r="M60" i="27" s="1"/>
  <c r="L60" i="27"/>
  <c r="AE15" i="27"/>
  <c r="M63" i="27" s="1"/>
  <c r="L63" i="27"/>
  <c r="AG15" i="27"/>
  <c r="M65" i="27" s="1"/>
  <c r="L65" i="27"/>
  <c r="AC15" i="27"/>
  <c r="M61" i="27" s="1"/>
  <c r="L61" i="27"/>
  <c r="AH15" i="27"/>
  <c r="M66" i="27" s="1"/>
  <c r="L66" i="27"/>
  <c r="Z15" i="27"/>
  <c r="M58" i="27" s="1"/>
  <c r="L58" i="27"/>
  <c r="AD15" i="27"/>
  <c r="M62" i="27" s="1"/>
  <c r="L62" i="27"/>
  <c r="AM15" i="27"/>
  <c r="M71" i="27" s="1"/>
  <c r="L71" i="27"/>
  <c r="AL15" i="27"/>
  <c r="M70" i="27" s="1"/>
  <c r="L70" i="27"/>
  <c r="AI15" i="27"/>
  <c r="M67" i="27" s="1"/>
  <c r="L67" i="27"/>
  <c r="AJ17" i="27"/>
  <c r="O68" i="27" s="1"/>
  <c r="N68" i="27"/>
  <c r="AF17" i="27"/>
  <c r="O64" i="27" s="1"/>
  <c r="N64" i="27"/>
  <c r="AI17" i="27"/>
  <c r="O67" i="27" s="1"/>
  <c r="N67" i="27"/>
  <c r="AK17" i="27"/>
  <c r="O69" i="27" s="1"/>
  <c r="N69" i="27"/>
  <c r="AM17" i="27"/>
  <c r="O71" i="27" s="1"/>
  <c r="N71" i="27"/>
  <c r="AA17" i="27"/>
  <c r="O59" i="27" s="1"/>
  <c r="N59" i="27"/>
  <c r="Y17" i="27"/>
  <c r="O57" i="27" s="1"/>
  <c r="N57" i="27"/>
  <c r="AG17" i="27"/>
  <c r="O65" i="27" s="1"/>
  <c r="N65" i="27"/>
  <c r="AB17" i="27"/>
  <c r="O60" i="27" s="1"/>
  <c r="N60" i="27"/>
  <c r="AL17" i="27"/>
  <c r="O70" i="27" s="1"/>
  <c r="N70" i="27"/>
  <c r="AE17" i="27"/>
  <c r="O63" i="27" s="1"/>
  <c r="N63" i="27"/>
  <c r="AD17" i="27"/>
  <c r="O62" i="27" s="1"/>
  <c r="N62" i="27"/>
  <c r="X17" i="27"/>
  <c r="O56" i="27" s="1"/>
  <c r="N56" i="27"/>
  <c r="AN17" i="27"/>
  <c r="O72" i="27" s="1"/>
  <c r="N72" i="27"/>
  <c r="Z17" i="27"/>
  <c r="O58" i="27" s="1"/>
  <c r="N58" i="27"/>
  <c r="AC17" i="27"/>
  <c r="O61" i="27" s="1"/>
  <c r="N61" i="27"/>
  <c r="AH17" i="27"/>
  <c r="O66" i="27" s="1"/>
  <c r="N66" i="27"/>
  <c r="K229" i="20"/>
  <c r="K245" i="20"/>
  <c r="K246" i="20"/>
  <c r="BB3" i="1"/>
  <c r="BD3" i="1" s="1"/>
  <c r="AY144" i="1"/>
  <c r="BC5" i="1"/>
  <c r="AY146" i="1"/>
  <c r="G15" i="27"/>
  <c r="M39" i="27" s="1"/>
  <c r="L39" i="27"/>
  <c r="N45" i="27"/>
  <c r="M17" i="27"/>
  <c r="O45" i="27" s="1"/>
  <c r="L50" i="27"/>
  <c r="R15" i="27"/>
  <c r="M50" i="27" s="1"/>
  <c r="N50" i="27"/>
  <c r="R17" i="27"/>
  <c r="O50" i="27" s="1"/>
  <c r="N39" i="27"/>
  <c r="G17" i="27"/>
  <c r="O39" i="27" s="1"/>
  <c r="N44" i="27"/>
  <c r="L17" i="27"/>
  <c r="O44" i="27" s="1"/>
  <c r="N38" i="27"/>
  <c r="F17" i="27"/>
  <c r="O38" i="27" s="1"/>
  <c r="N49" i="27"/>
  <c r="Q17" i="27"/>
  <c r="O49" i="27" s="1"/>
  <c r="L40" i="27"/>
  <c r="H15" i="27"/>
  <c r="M40" i="27" s="1"/>
  <c r="N51" i="27"/>
  <c r="S17" i="27"/>
  <c r="O51" i="27" s="1"/>
  <c r="L45" i="27"/>
  <c r="M15" i="27"/>
  <c r="M45" i="27" s="1"/>
  <c r="I17" i="27"/>
  <c r="O41" i="27" s="1"/>
  <c r="N41" i="27"/>
  <c r="N42" i="27"/>
  <c r="J17" i="27"/>
  <c r="O42" i="27" s="1"/>
  <c r="L46" i="27"/>
  <c r="N15" i="27"/>
  <c r="M46" i="27" s="1"/>
  <c r="BC4" i="1"/>
  <c r="AY145" i="1"/>
  <c r="N53" i="27"/>
  <c r="U17" i="27"/>
  <c r="O53" i="27" s="1"/>
  <c r="N54" i="27"/>
  <c r="O54" i="27"/>
  <c r="L49" i="27"/>
  <c r="Q15" i="27"/>
  <c r="M49" i="27" s="1"/>
  <c r="BC6" i="1"/>
  <c r="AY147" i="1"/>
  <c r="E15" i="27"/>
  <c r="M37" i="27" s="1"/>
  <c r="L37" i="27"/>
  <c r="N46" i="27"/>
  <c r="N17" i="27"/>
  <c r="O46" i="27" s="1"/>
  <c r="L54" i="27"/>
  <c r="M54" i="27"/>
  <c r="N52" i="27"/>
  <c r="T17" i="27"/>
  <c r="O52" i="27" s="1"/>
  <c r="L41" i="27"/>
  <c r="I15" i="27"/>
  <c r="M41" i="27" s="1"/>
  <c r="N43" i="27"/>
  <c r="K17" i="27"/>
  <c r="O43" i="27" s="1"/>
  <c r="N48" i="27"/>
  <c r="P17" i="27"/>
  <c r="O48" i="27" s="1"/>
  <c r="N40" i="27"/>
  <c r="H17" i="27"/>
  <c r="O40" i="27" s="1"/>
  <c r="N47" i="27"/>
  <c r="O17" i="27"/>
  <c r="O47" i="27" s="1"/>
  <c r="E17" i="27"/>
  <c r="O37" i="27" s="1"/>
  <c r="D17" i="27"/>
  <c r="O36" i="27" s="1"/>
  <c r="N36" i="27"/>
  <c r="N35" i="27"/>
  <c r="C17" i="27"/>
  <c r="O35" i="27" s="1"/>
  <c r="E22" i="1"/>
  <c r="AS22" i="1" s="1"/>
  <c r="E24" i="1"/>
  <c r="AS24" i="1" s="1"/>
  <c r="E426" i="1"/>
  <c r="AS62" i="1"/>
  <c r="E49" i="1"/>
  <c r="AS52" i="1"/>
  <c r="E419" i="1"/>
  <c r="E417" i="1" s="1"/>
  <c r="E327" i="1"/>
  <c r="E343" i="1" s="1"/>
  <c r="E342" i="1" s="1"/>
  <c r="E427" i="1"/>
  <c r="F73" i="14"/>
  <c r="H73" i="14" s="1"/>
  <c r="AN83" i="27" s="1"/>
  <c r="R37" i="24" s="1"/>
  <c r="F72" i="14"/>
  <c r="H72" i="14" s="1"/>
  <c r="AN82" i="27" s="1"/>
  <c r="R36" i="24" s="1"/>
  <c r="E118" i="1"/>
  <c r="E130" i="1" s="1"/>
  <c r="BD117" i="1"/>
  <c r="BD125" i="1"/>
  <c r="BD118" i="1"/>
  <c r="BD116" i="1"/>
  <c r="BA115" i="1"/>
  <c r="F27" i="14" s="1"/>
  <c r="E21" i="1"/>
  <c r="AS21" i="1" s="1"/>
  <c r="E25" i="1"/>
  <c r="AS25" i="1" s="1"/>
  <c r="E19" i="1"/>
  <c r="BD119" i="1"/>
  <c r="BD123" i="1"/>
  <c r="BD121" i="1"/>
  <c r="BD17" i="1"/>
  <c r="BD124" i="1"/>
  <c r="BD122" i="1"/>
  <c r="BD120" i="1"/>
  <c r="BD107" i="1"/>
  <c r="BD15" i="1"/>
  <c r="BD14" i="1"/>
  <c r="BB4" i="1"/>
  <c r="BD4" i="1" s="1"/>
  <c r="BD16" i="1"/>
  <c r="BD106" i="1"/>
  <c r="BD104" i="1"/>
  <c r="BD105" i="1"/>
  <c r="BC14" i="1"/>
  <c r="BC15" i="1"/>
  <c r="BB5" i="1"/>
  <c r="BD5" i="1" s="1"/>
  <c r="BC16" i="1"/>
  <c r="BB6" i="1"/>
  <c r="BD6" i="1" s="1"/>
  <c r="BB80" i="1"/>
  <c r="BC17" i="1"/>
  <c r="BC3" i="1"/>
  <c r="E444" i="1"/>
  <c r="E391" i="1"/>
  <c r="E362" i="1"/>
  <c r="E285" i="1"/>
  <c r="E247" i="1"/>
  <c r="E262" i="1"/>
  <c r="E252" i="1"/>
  <c r="E162" i="1"/>
  <c r="D7" i="19"/>
  <c r="D6" i="19"/>
  <c r="D5" i="19"/>
  <c r="DC49" i="27" l="1"/>
  <c r="FK40" i="27"/>
  <c r="CX40" i="27"/>
  <c r="BJ40" i="27"/>
  <c r="EL49" i="27"/>
  <c r="EL40" i="27"/>
  <c r="FZ40" i="27"/>
  <c r="EQ40" i="27"/>
  <c r="BT40" i="27"/>
  <c r="X10" i="24" s="1"/>
  <c r="CI40" i="27"/>
  <c r="AG10" i="24" s="1"/>
  <c r="BO40" i="27"/>
  <c r="U10" i="24" s="1"/>
  <c r="AU40" i="27"/>
  <c r="I10" i="24" s="1"/>
  <c r="DW49" i="27"/>
  <c r="DW40" i="27"/>
  <c r="L229" i="20"/>
  <c r="L233" i="20"/>
  <c r="L237" i="20"/>
  <c r="L241" i="20"/>
  <c r="L227" i="20"/>
  <c r="L223" i="20"/>
  <c r="L219" i="20"/>
  <c r="L215" i="20"/>
  <c r="L211" i="20"/>
  <c r="L207" i="20"/>
  <c r="L230" i="20"/>
  <c r="L234" i="20"/>
  <c r="L238" i="20"/>
  <c r="L242" i="20"/>
  <c r="L226" i="20"/>
  <c r="L222" i="20"/>
  <c r="L218" i="20"/>
  <c r="L214" i="20"/>
  <c r="L210" i="20"/>
  <c r="L231" i="20"/>
  <c r="L235" i="20"/>
  <c r="L239" i="20"/>
  <c r="L243" i="20"/>
  <c r="L225" i="20"/>
  <c r="L221" i="20"/>
  <c r="L217" i="20"/>
  <c r="L213" i="20"/>
  <c r="L209" i="20"/>
  <c r="L228" i="20"/>
  <c r="L232" i="20"/>
  <c r="L236" i="20"/>
  <c r="L240" i="20"/>
  <c r="L246" i="20"/>
  <c r="L224" i="20"/>
  <c r="L220" i="20"/>
  <c r="L216" i="20"/>
  <c r="L212" i="20"/>
  <c r="L208" i="20"/>
  <c r="L245" i="20"/>
  <c r="L244" i="20"/>
  <c r="EB40" i="27"/>
  <c r="CD40" i="27"/>
  <c r="AD10" i="24" s="1"/>
  <c r="FF40" i="27"/>
  <c r="EV40" i="27"/>
  <c r="AZ40" i="27"/>
  <c r="L10" i="24" s="1"/>
  <c r="DH40" i="27"/>
  <c r="AP40" i="27"/>
  <c r="F10" i="24" s="1"/>
  <c r="DR40" i="27"/>
  <c r="DC40" i="27"/>
  <c r="BE40" i="27"/>
  <c r="O10" i="24" s="1"/>
  <c r="FP40" i="27"/>
  <c r="DH44" i="27"/>
  <c r="DH45" i="27"/>
  <c r="DH53" i="27"/>
  <c r="DM44" i="27"/>
  <c r="DM45" i="27"/>
  <c r="DM53" i="27"/>
  <c r="AP45" i="27"/>
  <c r="F15" i="24" s="1"/>
  <c r="AP44" i="27"/>
  <c r="F14" i="24" s="1"/>
  <c r="AP53" i="27"/>
  <c r="F23" i="24" s="1"/>
  <c r="DR45" i="27"/>
  <c r="DR44" i="27"/>
  <c r="DR53" i="27"/>
  <c r="EG40" i="27"/>
  <c r="DC45" i="27"/>
  <c r="DC44" i="27"/>
  <c r="DC53" i="27"/>
  <c r="FP44" i="27"/>
  <c r="FP45" i="27"/>
  <c r="FP53" i="27"/>
  <c r="CS44" i="27"/>
  <c r="AM14" i="24" s="1"/>
  <c r="CS45" i="27"/>
  <c r="AM15" i="24" s="1"/>
  <c r="CS53" i="27"/>
  <c r="AM23" i="24" s="1"/>
  <c r="CN44" i="27"/>
  <c r="AJ14" i="24" s="1"/>
  <c r="CN45" i="27"/>
  <c r="AJ15" i="24" s="1"/>
  <c r="CN53" i="27"/>
  <c r="AJ23" i="24" s="1"/>
  <c r="FU44" i="27"/>
  <c r="FU45" i="27"/>
  <c r="FU53" i="27"/>
  <c r="AZ50" i="27"/>
  <c r="AZ44" i="27"/>
  <c r="L14" i="24" s="1"/>
  <c r="AZ53" i="27"/>
  <c r="L23" i="24" s="1"/>
  <c r="AZ51" i="27"/>
  <c r="AZ45" i="27"/>
  <c r="L15" i="24" s="1"/>
  <c r="AZ39" i="27"/>
  <c r="AZ52" i="27"/>
  <c r="BE44" i="27"/>
  <c r="O14" i="24" s="1"/>
  <c r="BE53" i="27"/>
  <c r="O23" i="24" s="1"/>
  <c r="BE45" i="27"/>
  <c r="O15" i="24" s="1"/>
  <c r="EV44" i="27"/>
  <c r="EV45" i="27"/>
  <c r="EV53" i="27"/>
  <c r="FA44" i="27"/>
  <c r="FA45" i="27"/>
  <c r="FA53" i="27"/>
  <c r="BJ45" i="27"/>
  <c r="R15" i="24" s="1"/>
  <c r="BJ44" i="27"/>
  <c r="R14" i="24" s="1"/>
  <c r="BJ53" i="27"/>
  <c r="R23" i="24" s="1"/>
  <c r="EL45" i="27"/>
  <c r="EL44" i="27"/>
  <c r="EL53" i="27"/>
  <c r="DM40" i="27"/>
  <c r="AU53" i="27"/>
  <c r="I23" i="24" s="1"/>
  <c r="AU45" i="27"/>
  <c r="I15" i="24" s="1"/>
  <c r="AU44" i="27"/>
  <c r="I14" i="24" s="1"/>
  <c r="DW45" i="27"/>
  <c r="DW44" i="27"/>
  <c r="DW53" i="27"/>
  <c r="CN40" i="27"/>
  <c r="AJ10" i="24" s="1"/>
  <c r="EB44" i="27"/>
  <c r="EB45" i="27"/>
  <c r="EB53" i="27"/>
  <c r="EG44" i="27"/>
  <c r="EG45" i="27"/>
  <c r="EG53" i="27"/>
  <c r="AK44" i="27"/>
  <c r="C14" i="24" s="1"/>
  <c r="AK45" i="27"/>
  <c r="C15" i="24" s="1"/>
  <c r="AK53" i="27"/>
  <c r="C23" i="24" s="1"/>
  <c r="CD45" i="27"/>
  <c r="AD15" i="24" s="1"/>
  <c r="CD44" i="27"/>
  <c r="AD14" i="24" s="1"/>
  <c r="CD53" i="27"/>
  <c r="AD23" i="24" s="1"/>
  <c r="FF45" i="27"/>
  <c r="FF44" i="27"/>
  <c r="FF53" i="27"/>
  <c r="CS40" i="27"/>
  <c r="AM10" i="24" s="1"/>
  <c r="FU40" i="27"/>
  <c r="BO45" i="27"/>
  <c r="U15" i="24" s="1"/>
  <c r="BO52" i="27"/>
  <c r="BO53" i="27"/>
  <c r="U23" i="24" s="1"/>
  <c r="BO51" i="27"/>
  <c r="BO39" i="27"/>
  <c r="BO44" i="27"/>
  <c r="U14" i="24" s="1"/>
  <c r="BO50" i="27"/>
  <c r="EQ45" i="27"/>
  <c r="EQ44" i="27"/>
  <c r="EQ53" i="27"/>
  <c r="BT44" i="27"/>
  <c r="X14" i="24" s="1"/>
  <c r="BT45" i="27"/>
  <c r="X15" i="24" s="1"/>
  <c r="BT53" i="27"/>
  <c r="X23" i="24" s="1"/>
  <c r="BY44" i="27"/>
  <c r="AA14" i="24" s="1"/>
  <c r="BY45" i="27"/>
  <c r="AA15" i="24" s="1"/>
  <c r="BY53" i="27"/>
  <c r="AA23" i="24" s="1"/>
  <c r="CX45" i="27"/>
  <c r="CX44" i="27"/>
  <c r="CX53" i="27"/>
  <c r="FZ45" i="27"/>
  <c r="FZ44" i="27"/>
  <c r="FZ53" i="27"/>
  <c r="BY40" i="27"/>
  <c r="AA10" i="24" s="1"/>
  <c r="FA40" i="27"/>
  <c r="CI45" i="27"/>
  <c r="AG15" i="24" s="1"/>
  <c r="CI44" i="27"/>
  <c r="AG14" i="24" s="1"/>
  <c r="CI53" i="27"/>
  <c r="AG23" i="24" s="1"/>
  <c r="FK45" i="27"/>
  <c r="FK44" i="27"/>
  <c r="FK53" i="27"/>
  <c r="FF49" i="27"/>
  <c r="EQ49" i="27"/>
  <c r="AK49" i="27"/>
  <c r="C19" i="24" s="1"/>
  <c r="FK49" i="27"/>
  <c r="CI49" i="27"/>
  <c r="AG19" i="24" s="1"/>
  <c r="CX49" i="27"/>
  <c r="BO49" i="27"/>
  <c r="U19" i="24" s="1"/>
  <c r="CD49" i="27"/>
  <c r="AD19" i="24" s="1"/>
  <c r="AU49" i="27"/>
  <c r="BJ49" i="27"/>
  <c r="AP49" i="27"/>
  <c r="F19" i="24" s="1"/>
  <c r="CS49" i="27"/>
  <c r="AM19" i="24" s="1"/>
  <c r="FU49" i="27"/>
  <c r="CN49" i="27"/>
  <c r="AJ19" i="24" s="1"/>
  <c r="FP49" i="27"/>
  <c r="BA146" i="1"/>
  <c r="BB146" i="1" s="1"/>
  <c r="DH49" i="27"/>
  <c r="BA145" i="1"/>
  <c r="BB145" i="1" s="1"/>
  <c r="AZ49" i="27"/>
  <c r="L19" i="24" s="1"/>
  <c r="EB49" i="27"/>
  <c r="DM49" i="27"/>
  <c r="BA147" i="1"/>
  <c r="BB147" i="1" s="1"/>
  <c r="BE3" i="1"/>
  <c r="H9" i="14" s="1"/>
  <c r="FZ49" i="27"/>
  <c r="BT49" i="27"/>
  <c r="X19" i="24" s="1"/>
  <c r="EV49" i="27"/>
  <c r="BE49" i="27"/>
  <c r="O19" i="24" s="1"/>
  <c r="EG49" i="27"/>
  <c r="BY49" i="27"/>
  <c r="AA19" i="24" s="1"/>
  <c r="FA49" i="27"/>
  <c r="CD46" i="27"/>
  <c r="AD16" i="24" s="1"/>
  <c r="CD43" i="27"/>
  <c r="AD13" i="24" s="1"/>
  <c r="CD37" i="27"/>
  <c r="AD7" i="24" s="1"/>
  <c r="CD47" i="27"/>
  <c r="AD17" i="24" s="1"/>
  <c r="CD48" i="27"/>
  <c r="AD18" i="24" s="1"/>
  <c r="CD42" i="27"/>
  <c r="AD12" i="24" s="1"/>
  <c r="CS46" i="27"/>
  <c r="AM16" i="24" s="1"/>
  <c r="CS43" i="27"/>
  <c r="AM13" i="24" s="1"/>
  <c r="CS37" i="27"/>
  <c r="AM7" i="24" s="1"/>
  <c r="CS48" i="27"/>
  <c r="AM18" i="24" s="1"/>
  <c r="CS42" i="27"/>
  <c r="AM12" i="24" s="1"/>
  <c r="CS47" i="27"/>
  <c r="AU46" i="27"/>
  <c r="I16" i="24" s="1"/>
  <c r="AU43" i="27"/>
  <c r="I13" i="24" s="1"/>
  <c r="AU48" i="27"/>
  <c r="I18" i="24" s="1"/>
  <c r="AU42" i="27"/>
  <c r="AU47" i="27"/>
  <c r="AZ46" i="27"/>
  <c r="L16" i="24" s="1"/>
  <c r="AZ37" i="27"/>
  <c r="AZ43" i="27"/>
  <c r="L13" i="24" s="1"/>
  <c r="AZ42" i="27"/>
  <c r="L12" i="24" s="1"/>
  <c r="AZ48" i="27"/>
  <c r="L18" i="24" s="1"/>
  <c r="AZ47" i="27"/>
  <c r="L17" i="24" s="1"/>
  <c r="DH48" i="27"/>
  <c r="DH43" i="27"/>
  <c r="DH37" i="27"/>
  <c r="DH46" i="27"/>
  <c r="DH47" i="27"/>
  <c r="DH42" i="27"/>
  <c r="DC43" i="27"/>
  <c r="DC37" i="27"/>
  <c r="DC46" i="27"/>
  <c r="DC42" i="27"/>
  <c r="DC48" i="27"/>
  <c r="DC47" i="27"/>
  <c r="CI46" i="27"/>
  <c r="AG16" i="24" s="1"/>
  <c r="CI43" i="27"/>
  <c r="AG13" i="24" s="1"/>
  <c r="CI37" i="27"/>
  <c r="AG7" i="24" s="1"/>
  <c r="CI47" i="27"/>
  <c r="AG17" i="24" s="1"/>
  <c r="CI42" i="27"/>
  <c r="AG12" i="24" s="1"/>
  <c r="CI48" i="27"/>
  <c r="AG18" i="24" s="1"/>
  <c r="EG42" i="27"/>
  <c r="EG37" i="27"/>
  <c r="EG48" i="27"/>
  <c r="EG46" i="27"/>
  <c r="EG47" i="27"/>
  <c r="EG43" i="27"/>
  <c r="FF37" i="27"/>
  <c r="FF43" i="27"/>
  <c r="FF42" i="27"/>
  <c r="FF48" i="27"/>
  <c r="FF46" i="27"/>
  <c r="FF47" i="27"/>
  <c r="BE43" i="27"/>
  <c r="O13" i="24" s="1"/>
  <c r="BE46" i="27"/>
  <c r="O16" i="24" s="1"/>
  <c r="BE48" i="27"/>
  <c r="O18" i="24" s="1"/>
  <c r="BE42" i="27"/>
  <c r="O12" i="24" s="1"/>
  <c r="BE47" i="27"/>
  <c r="O17" i="24" s="1"/>
  <c r="BJ46" i="27"/>
  <c r="R16" i="24" s="1"/>
  <c r="BJ43" i="27"/>
  <c r="BJ37" i="27"/>
  <c r="R7" i="24" s="1"/>
  <c r="BJ47" i="27"/>
  <c r="R17" i="24" s="1"/>
  <c r="BJ48" i="27"/>
  <c r="R18" i="24" s="1"/>
  <c r="R10" i="24"/>
  <c r="BJ42" i="27"/>
  <c r="R12" i="24" s="1"/>
  <c r="DR46" i="27"/>
  <c r="DR43" i="27"/>
  <c r="DR37" i="27"/>
  <c r="DR48" i="27"/>
  <c r="DR42" i="27"/>
  <c r="DR47" i="27"/>
  <c r="EV37" i="27"/>
  <c r="EV48" i="27"/>
  <c r="EV46" i="27"/>
  <c r="EV47" i="27"/>
  <c r="EV43" i="27"/>
  <c r="EV42" i="27"/>
  <c r="FK37" i="27"/>
  <c r="FK46" i="27"/>
  <c r="FK47" i="27"/>
  <c r="FK43" i="27"/>
  <c r="FK42" i="27"/>
  <c r="FK48" i="27"/>
  <c r="FA37" i="27"/>
  <c r="FA43" i="27"/>
  <c r="FA48" i="27"/>
  <c r="FA46" i="27"/>
  <c r="FA47" i="27"/>
  <c r="FA42" i="27"/>
  <c r="AP37" i="27"/>
  <c r="AP43" i="27"/>
  <c r="F13" i="24" s="1"/>
  <c r="AP46" i="27"/>
  <c r="F16" i="24" s="1"/>
  <c r="AP48" i="27"/>
  <c r="F18" i="24" s="1"/>
  <c r="AP42" i="27"/>
  <c r="F12" i="24" s="1"/>
  <c r="AP47" i="27"/>
  <c r="F17" i="24" s="1"/>
  <c r="EB46" i="27"/>
  <c r="EB43" i="27"/>
  <c r="EB37" i="27"/>
  <c r="EB48" i="27"/>
  <c r="EB42" i="27"/>
  <c r="EB47" i="27"/>
  <c r="EQ37" i="27"/>
  <c r="EQ48" i="27"/>
  <c r="EQ46" i="27"/>
  <c r="EQ47" i="27"/>
  <c r="EQ43" i="27"/>
  <c r="EQ42" i="27"/>
  <c r="BY46" i="27"/>
  <c r="AA16" i="24" s="1"/>
  <c r="BY43" i="27"/>
  <c r="AA13" i="24" s="1"/>
  <c r="BY37" i="27"/>
  <c r="AA7" i="24" s="1"/>
  <c r="BY48" i="27"/>
  <c r="AA18" i="24" s="1"/>
  <c r="BY42" i="27"/>
  <c r="AA12" i="24" s="1"/>
  <c r="BY47" i="27"/>
  <c r="AA17" i="24" s="1"/>
  <c r="DM46" i="27"/>
  <c r="DM43" i="27"/>
  <c r="DM37" i="27"/>
  <c r="DM48" i="27"/>
  <c r="DM47" i="27"/>
  <c r="DM42" i="27"/>
  <c r="EL37" i="27"/>
  <c r="EL43" i="27"/>
  <c r="EL42" i="27"/>
  <c r="EL47" i="27"/>
  <c r="EL48" i="27"/>
  <c r="EL46" i="27"/>
  <c r="BT46" i="27"/>
  <c r="X16" i="24" s="1"/>
  <c r="BT43" i="27"/>
  <c r="X13" i="24" s="1"/>
  <c r="BT42" i="27"/>
  <c r="X12" i="24" s="1"/>
  <c r="BT47" i="27"/>
  <c r="X17" i="24" s="1"/>
  <c r="BT48" i="27"/>
  <c r="X18" i="24" s="1"/>
  <c r="BO46" i="27"/>
  <c r="U16" i="24" s="1"/>
  <c r="BO43" i="27"/>
  <c r="U13" i="24" s="1"/>
  <c r="BO47" i="27"/>
  <c r="U17" i="24" s="1"/>
  <c r="BO48" i="27"/>
  <c r="U18" i="24" s="1"/>
  <c r="BO42" i="27"/>
  <c r="U12" i="24" s="1"/>
  <c r="FZ37" i="27"/>
  <c r="FZ48" i="27"/>
  <c r="FZ43" i="27"/>
  <c r="FZ42" i="27"/>
  <c r="FZ46" i="27"/>
  <c r="FZ47" i="27"/>
  <c r="DW46" i="27"/>
  <c r="DW43" i="27"/>
  <c r="DW37" i="27"/>
  <c r="DW48" i="27"/>
  <c r="DW42" i="27"/>
  <c r="DW47" i="27"/>
  <c r="FP37" i="27"/>
  <c r="FP46" i="27"/>
  <c r="FP47" i="27"/>
  <c r="FP48" i="27"/>
  <c r="FP43" i="27"/>
  <c r="FP42" i="27"/>
  <c r="FU37" i="27"/>
  <c r="FU42" i="27"/>
  <c r="FU46" i="27"/>
  <c r="FU47" i="27"/>
  <c r="FU48" i="27"/>
  <c r="FU43" i="27"/>
  <c r="CN46" i="27"/>
  <c r="AJ16" i="24" s="1"/>
  <c r="CN43" i="27"/>
  <c r="AJ13" i="24" s="1"/>
  <c r="CN37" i="27"/>
  <c r="AJ7" i="24" s="1"/>
  <c r="CN42" i="27"/>
  <c r="AJ12" i="24" s="1"/>
  <c r="CN48" i="27"/>
  <c r="AJ18" i="24" s="1"/>
  <c r="CN47" i="27"/>
  <c r="AJ17" i="24" s="1"/>
  <c r="CX43" i="27"/>
  <c r="CX37" i="27"/>
  <c r="CX46" i="27"/>
  <c r="CX48" i="27"/>
  <c r="CX47" i="27"/>
  <c r="CX42" i="27"/>
  <c r="AK46" i="27"/>
  <c r="C16" i="24" s="1"/>
  <c r="AK48" i="27"/>
  <c r="C18" i="24" s="1"/>
  <c r="AK47" i="27"/>
  <c r="C17" i="24" s="1"/>
  <c r="AK43" i="27"/>
  <c r="C13" i="24" s="1"/>
  <c r="AK42" i="27"/>
  <c r="C12" i="24" s="1"/>
  <c r="AK40" i="27"/>
  <c r="C10" i="24" s="1"/>
  <c r="AS4" i="1"/>
  <c r="H13" i="14" s="1"/>
  <c r="E374" i="1"/>
  <c r="E387" i="1" s="1"/>
  <c r="E358" i="1"/>
  <c r="M246" i="20"/>
  <c r="M245" i="20"/>
  <c r="N246" i="20"/>
  <c r="N245" i="20"/>
  <c r="D2" i="19"/>
  <c r="F11" i="12"/>
  <c r="BD35" i="1"/>
  <c r="H23" i="14" s="1"/>
  <c r="H25" i="14"/>
  <c r="BD40" i="1"/>
  <c r="H24" i="14" s="1"/>
  <c r="AS47" i="1"/>
  <c r="AS49" i="1"/>
  <c r="E425" i="1"/>
  <c r="E432" i="1" s="1"/>
  <c r="BE13" i="1"/>
  <c r="H17" i="14" s="1"/>
  <c r="AS58" i="1"/>
  <c r="E17" i="1"/>
  <c r="AS19" i="1"/>
  <c r="BD103" i="1"/>
  <c r="H26" i="14" s="1"/>
  <c r="BD115" i="1"/>
  <c r="H27" i="14" s="1"/>
  <c r="F79" i="14"/>
  <c r="H79" i="14" s="1"/>
  <c r="F70" i="14"/>
  <c r="H70" i="14" s="1"/>
  <c r="E267" i="1"/>
  <c r="E431" i="1" l="1"/>
  <c r="F71" i="14" s="1"/>
  <c r="H71" i="14" s="1"/>
  <c r="AN81" i="27" s="1"/>
  <c r="R35" i="24" s="1"/>
  <c r="V21" i="27"/>
  <c r="V54" i="27" s="1"/>
  <c r="W21" i="27"/>
  <c r="V55" i="27" s="1"/>
  <c r="AO21" i="27"/>
  <c r="AP21" i="27"/>
  <c r="R21" i="27"/>
  <c r="V50" i="27" s="1"/>
  <c r="AS21" i="27"/>
  <c r="AC21" i="27"/>
  <c r="V61" i="27" s="1"/>
  <c r="D21" i="27"/>
  <c r="V36" i="27" s="1"/>
  <c r="AU51" i="27" s="1"/>
  <c r="E21" i="27"/>
  <c r="V37" i="27" s="1"/>
  <c r="BE51" i="27" s="1"/>
  <c r="AE21" i="27"/>
  <c r="V63" i="27" s="1"/>
  <c r="J21" i="27"/>
  <c r="V42" i="27" s="1"/>
  <c r="AB21" i="27"/>
  <c r="V60" i="27" s="1"/>
  <c r="AH21" i="27"/>
  <c r="V66" i="27" s="1"/>
  <c r="H21" i="27"/>
  <c r="V40" i="27" s="1"/>
  <c r="O21" i="27"/>
  <c r="V47" i="27" s="1"/>
  <c r="AM21" i="27"/>
  <c r="V71" i="27" s="1"/>
  <c r="AI21" i="27"/>
  <c r="V67" i="27" s="1"/>
  <c r="L21" i="27"/>
  <c r="V44" i="27" s="1"/>
  <c r="N21" i="27"/>
  <c r="V46" i="27" s="1"/>
  <c r="T21" i="27"/>
  <c r="V52" i="27" s="1"/>
  <c r="F21" i="27"/>
  <c r="V38" i="27" s="1"/>
  <c r="Q21" i="27"/>
  <c r="V49" i="27" s="1"/>
  <c r="X21" i="27"/>
  <c r="V56" i="27" s="1"/>
  <c r="M21" i="27"/>
  <c r="V45" i="27" s="1"/>
  <c r="AR21" i="27"/>
  <c r="AK21" i="27"/>
  <c r="V69" i="27" s="1"/>
  <c r="I21" i="27"/>
  <c r="V41" i="27" s="1"/>
  <c r="AQ21" i="27"/>
  <c r="AN21" i="27"/>
  <c r="V72" i="27" s="1"/>
  <c r="Z21" i="27"/>
  <c r="V58" i="27" s="1"/>
  <c r="AJ21" i="27"/>
  <c r="V68" i="27" s="1"/>
  <c r="AL21" i="27"/>
  <c r="V70" i="27" s="1"/>
  <c r="G21" i="27"/>
  <c r="V39" i="27" s="1"/>
  <c r="AD21" i="27"/>
  <c r="V62" i="27" s="1"/>
  <c r="K21" i="27"/>
  <c r="V43" i="27" s="1"/>
  <c r="AF21" i="27"/>
  <c r="V64" i="27" s="1"/>
  <c r="P21" i="27"/>
  <c r="V48" i="27" s="1"/>
  <c r="C21" i="27"/>
  <c r="V35" i="27" s="1"/>
  <c r="AP51" i="27" s="1"/>
  <c r="S21" i="27"/>
  <c r="V51" i="27" s="1"/>
  <c r="AA21" i="27"/>
  <c r="V59" i="27" s="1"/>
  <c r="Y21" i="27"/>
  <c r="V57" i="27" s="1"/>
  <c r="AG21" i="27"/>
  <c r="V65" i="27" s="1"/>
  <c r="U21" i="27"/>
  <c r="V53" i="27" s="1"/>
  <c r="B21" i="27"/>
  <c r="V34" i="27" s="1"/>
  <c r="AK51" i="27" s="1"/>
  <c r="V22" i="27"/>
  <c r="W22" i="27"/>
  <c r="W55" i="27" s="1"/>
  <c r="AO22" i="27"/>
  <c r="AP22" i="27"/>
  <c r="AK22" i="27"/>
  <c r="AQ22" i="27"/>
  <c r="Z22" i="27"/>
  <c r="AL22" i="27"/>
  <c r="AD22" i="27"/>
  <c r="AF22" i="27"/>
  <c r="C22" i="27"/>
  <c r="AA22" i="27"/>
  <c r="AG22" i="27"/>
  <c r="R22" i="27"/>
  <c r="AS22" i="27"/>
  <c r="D22" i="27"/>
  <c r="AE22" i="27"/>
  <c r="AB22" i="27"/>
  <c r="H22" i="27"/>
  <c r="AM22" i="27"/>
  <c r="L22" i="27"/>
  <c r="T22" i="27"/>
  <c r="Q22" i="27"/>
  <c r="M22" i="27"/>
  <c r="B22" i="27"/>
  <c r="I22" i="27"/>
  <c r="AN22" i="27"/>
  <c r="AJ22" i="27"/>
  <c r="G22" i="27"/>
  <c r="K22" i="27"/>
  <c r="P22" i="27"/>
  <c r="S22" i="27"/>
  <c r="Y22" i="27"/>
  <c r="U22" i="27"/>
  <c r="AC22" i="27"/>
  <c r="E22" i="27"/>
  <c r="J22" i="27"/>
  <c r="AH22" i="27"/>
  <c r="O22" i="27"/>
  <c r="AI22" i="27"/>
  <c r="N22" i="27"/>
  <c r="F22" i="27"/>
  <c r="X22" i="27"/>
  <c r="AR22" i="27"/>
  <c r="AA39" i="27"/>
  <c r="AA43" i="27"/>
  <c r="AA47" i="27"/>
  <c r="AA51" i="27"/>
  <c r="AA55" i="27"/>
  <c r="AA59" i="27"/>
  <c r="AA63" i="27"/>
  <c r="AA67" i="27"/>
  <c r="AA71" i="27"/>
  <c r="AA41" i="27"/>
  <c r="AA49" i="27"/>
  <c r="AA57" i="27"/>
  <c r="AA65" i="27"/>
  <c r="AA38" i="27"/>
  <c r="AA46" i="27"/>
  <c r="AA54" i="27"/>
  <c r="AA62" i="27"/>
  <c r="AA36" i="27"/>
  <c r="AU39" i="27" s="1"/>
  <c r="AA40" i="27"/>
  <c r="AA44" i="27"/>
  <c r="AA48" i="27"/>
  <c r="AA52" i="27"/>
  <c r="AA56" i="27"/>
  <c r="AA60" i="27"/>
  <c r="AA64" i="27"/>
  <c r="AA68" i="27"/>
  <c r="AA37" i="27"/>
  <c r="BE39" i="27" s="1"/>
  <c r="AA45" i="27"/>
  <c r="AA53" i="27"/>
  <c r="AA61" i="27"/>
  <c r="AA69" i="27"/>
  <c r="AA42" i="27"/>
  <c r="AA50" i="27"/>
  <c r="AA58" i="27"/>
  <c r="AA66" i="27"/>
  <c r="AA34" i="27"/>
  <c r="AK39" i="27" s="1"/>
  <c r="C9" i="24" s="1"/>
  <c r="K58" i="14"/>
  <c r="N57" i="14"/>
  <c r="Q82" i="27"/>
  <c r="R82" i="27" s="1"/>
  <c r="U36" i="24" s="1"/>
  <c r="AA70" i="27"/>
  <c r="AA72" i="27"/>
  <c r="AA35" i="27"/>
  <c r="AP39" i="27" s="1"/>
  <c r="E310" i="1"/>
  <c r="E297" i="1"/>
  <c r="J246" i="20"/>
  <c r="J245" i="20"/>
  <c r="AN80" i="27"/>
  <c r="R34" i="24" s="1"/>
  <c r="E84" i="1"/>
  <c r="E80" i="1" s="1"/>
  <c r="E93" i="1"/>
  <c r="AS93" i="1" s="1"/>
  <c r="AS17" i="1"/>
  <c r="E16" i="1"/>
  <c r="E9" i="1" s="1"/>
  <c r="E8" i="1" s="1"/>
  <c r="AS57" i="1"/>
  <c r="N227" i="20"/>
  <c r="N228" i="20"/>
  <c r="N229" i="20"/>
  <c r="N230" i="20"/>
  <c r="N231" i="20"/>
  <c r="N232" i="20"/>
  <c r="N233" i="20"/>
  <c r="N234" i="20"/>
  <c r="N235" i="20"/>
  <c r="N236" i="20"/>
  <c r="N237" i="20"/>
  <c r="N238" i="20"/>
  <c r="N239" i="20"/>
  <c r="N240" i="20"/>
  <c r="N241" i="20"/>
  <c r="N242" i="20"/>
  <c r="N243" i="20"/>
  <c r="N244" i="20"/>
  <c r="M227" i="20"/>
  <c r="M228" i="20"/>
  <c r="M229" i="20"/>
  <c r="M230" i="20"/>
  <c r="M231" i="20"/>
  <c r="M232" i="20"/>
  <c r="M233" i="20"/>
  <c r="M234" i="20"/>
  <c r="M235" i="20"/>
  <c r="M236" i="20"/>
  <c r="M237" i="20"/>
  <c r="M238" i="20"/>
  <c r="M239" i="20"/>
  <c r="M240" i="20"/>
  <c r="M241" i="20"/>
  <c r="M242" i="20"/>
  <c r="M243" i="20"/>
  <c r="M244" i="20"/>
  <c r="K227" i="20"/>
  <c r="K228" i="20"/>
  <c r="K230" i="20"/>
  <c r="K231" i="20"/>
  <c r="K232" i="20"/>
  <c r="K233" i="20"/>
  <c r="K234" i="20"/>
  <c r="K235" i="20"/>
  <c r="K236" i="20"/>
  <c r="K237" i="20"/>
  <c r="K238" i="20"/>
  <c r="K239" i="20"/>
  <c r="K240" i="20"/>
  <c r="K241" i="20"/>
  <c r="K242" i="20"/>
  <c r="K243" i="20"/>
  <c r="K244" i="20"/>
  <c r="J227" i="20"/>
  <c r="J228" i="20"/>
  <c r="J229" i="20"/>
  <c r="J230" i="20"/>
  <c r="J231" i="20"/>
  <c r="J232" i="20"/>
  <c r="J233" i="20"/>
  <c r="J234" i="20"/>
  <c r="J235" i="20"/>
  <c r="J236" i="20"/>
  <c r="J237" i="20"/>
  <c r="J238" i="20"/>
  <c r="J239" i="20"/>
  <c r="J240" i="20"/>
  <c r="J241" i="20"/>
  <c r="J242" i="20"/>
  <c r="J243" i="20"/>
  <c r="J244" i="20"/>
  <c r="C227" i="20"/>
  <c r="J29" i="14" s="1"/>
  <c r="C228" i="20"/>
  <c r="J30" i="14" s="1"/>
  <c r="C229" i="20"/>
  <c r="J31" i="14" s="1"/>
  <c r="C230" i="20"/>
  <c r="J32" i="14" s="1"/>
  <c r="C231" i="20"/>
  <c r="J33" i="14" s="1"/>
  <c r="C232" i="20"/>
  <c r="J34" i="14" s="1"/>
  <c r="C233" i="20"/>
  <c r="J35" i="14" s="1"/>
  <c r="C234" i="20"/>
  <c r="J36" i="14" s="1"/>
  <c r="C235" i="20"/>
  <c r="J37" i="14" s="1"/>
  <c r="C236" i="20"/>
  <c r="J38" i="14" s="1"/>
  <c r="C237" i="20"/>
  <c r="J39" i="14" s="1"/>
  <c r="C238" i="20"/>
  <c r="J40" i="14" s="1"/>
  <c r="C239" i="20"/>
  <c r="J41" i="14" s="1"/>
  <c r="C240" i="20"/>
  <c r="J42" i="14" s="1"/>
  <c r="C241" i="20"/>
  <c r="J43" i="14" s="1"/>
  <c r="C242" i="20"/>
  <c r="J44" i="14" s="1"/>
  <c r="C243" i="20"/>
  <c r="J45" i="14" s="1"/>
  <c r="C244" i="20"/>
  <c r="J46" i="14" s="1"/>
  <c r="C226" i="20"/>
  <c r="J28" i="14" s="1"/>
  <c r="C208" i="20"/>
  <c r="J10" i="14" s="1"/>
  <c r="C209" i="20"/>
  <c r="J11" i="14" s="1"/>
  <c r="C210" i="20"/>
  <c r="J12" i="14" s="1"/>
  <c r="C211" i="20"/>
  <c r="J13" i="14" s="1"/>
  <c r="C212" i="20"/>
  <c r="J14" i="14" s="1"/>
  <c r="C213" i="20"/>
  <c r="J15" i="14" s="1"/>
  <c r="C214" i="20"/>
  <c r="J16" i="14" s="1"/>
  <c r="C215" i="20"/>
  <c r="J17" i="14" s="1"/>
  <c r="C216" i="20"/>
  <c r="J18" i="14" s="1"/>
  <c r="C217" i="20"/>
  <c r="J19" i="14" s="1"/>
  <c r="C218" i="20"/>
  <c r="J20" i="14" s="1"/>
  <c r="C219" i="20"/>
  <c r="J21" i="14" s="1"/>
  <c r="C220" i="20"/>
  <c r="J22" i="14" s="1"/>
  <c r="C221" i="20"/>
  <c r="J23" i="14" s="1"/>
  <c r="C222" i="20"/>
  <c r="J24" i="14" s="1"/>
  <c r="C223" i="20"/>
  <c r="J25" i="14" s="1"/>
  <c r="C224" i="20"/>
  <c r="J26" i="14" s="1"/>
  <c r="C225" i="20"/>
  <c r="J27" i="14" s="1"/>
  <c r="C207" i="20"/>
  <c r="BS126" i="20"/>
  <c r="BS127" i="20"/>
  <c r="BS128" i="20"/>
  <c r="BS129" i="20"/>
  <c r="BS130" i="20"/>
  <c r="BS131" i="20"/>
  <c r="BS132" i="20"/>
  <c r="BS133" i="20"/>
  <c r="BS134" i="20"/>
  <c r="BS135" i="20"/>
  <c r="BS136" i="20"/>
  <c r="BS137" i="20"/>
  <c r="BS138" i="20"/>
  <c r="BS139" i="20"/>
  <c r="BS140" i="20"/>
  <c r="BS141" i="20"/>
  <c r="BS142" i="20"/>
  <c r="BS143" i="20"/>
  <c r="BS107" i="20"/>
  <c r="BS108" i="20"/>
  <c r="BS109" i="20"/>
  <c r="BS110" i="20"/>
  <c r="BS111" i="20"/>
  <c r="BS112" i="20"/>
  <c r="BS113" i="20"/>
  <c r="BS114" i="20"/>
  <c r="BS115" i="20"/>
  <c r="BS116" i="20"/>
  <c r="BS117" i="20"/>
  <c r="BS118" i="20"/>
  <c r="BS119" i="20"/>
  <c r="BS120" i="20"/>
  <c r="BS121" i="20"/>
  <c r="BS122" i="20"/>
  <c r="BS123" i="20"/>
  <c r="BS124" i="20"/>
  <c r="BS125" i="20"/>
  <c r="BS106" i="20"/>
  <c r="B108" i="20"/>
  <c r="BB126" i="20"/>
  <c r="BB127" i="20"/>
  <c r="BB128" i="20"/>
  <c r="BB129" i="20"/>
  <c r="BB130" i="20"/>
  <c r="BB131" i="20"/>
  <c r="BB132" i="20"/>
  <c r="BB133" i="20"/>
  <c r="BB134" i="20"/>
  <c r="BB135" i="20"/>
  <c r="BB136" i="20"/>
  <c r="BB137" i="20"/>
  <c r="BB138" i="20"/>
  <c r="BB139" i="20"/>
  <c r="BB140" i="20"/>
  <c r="BB141" i="20"/>
  <c r="BB142" i="20"/>
  <c r="BB143" i="20"/>
  <c r="BB107" i="20"/>
  <c r="BB108" i="20"/>
  <c r="BB109" i="20"/>
  <c r="BB110" i="20"/>
  <c r="BB111" i="20"/>
  <c r="BB112" i="20"/>
  <c r="BB113" i="20"/>
  <c r="BB114" i="20"/>
  <c r="BB115" i="20"/>
  <c r="BB116" i="20"/>
  <c r="BB117" i="20"/>
  <c r="BB118" i="20"/>
  <c r="BB119" i="20"/>
  <c r="BB120" i="20"/>
  <c r="BB121" i="20"/>
  <c r="BB122" i="20"/>
  <c r="BB123" i="20"/>
  <c r="BB124" i="20"/>
  <c r="BB125" i="20"/>
  <c r="BB106" i="20"/>
  <c r="AK106" i="20"/>
  <c r="T126" i="20"/>
  <c r="T127" i="20"/>
  <c r="T128" i="20"/>
  <c r="T129" i="20"/>
  <c r="T130" i="20"/>
  <c r="T131" i="20"/>
  <c r="T132" i="20"/>
  <c r="T133" i="20"/>
  <c r="T134" i="20"/>
  <c r="T135" i="20"/>
  <c r="T136" i="20"/>
  <c r="T137" i="20"/>
  <c r="T138" i="20"/>
  <c r="T139" i="20"/>
  <c r="T140" i="20"/>
  <c r="T141" i="20"/>
  <c r="T142" i="20"/>
  <c r="T143" i="20"/>
  <c r="AK126" i="20"/>
  <c r="AK127" i="20"/>
  <c r="AK128" i="20"/>
  <c r="AK129" i="20"/>
  <c r="AK130" i="20"/>
  <c r="AK131" i="20"/>
  <c r="AK132" i="20"/>
  <c r="AK133" i="20"/>
  <c r="AK134" i="20"/>
  <c r="AK135" i="20"/>
  <c r="AK136" i="20"/>
  <c r="AK137" i="20"/>
  <c r="AK138" i="20"/>
  <c r="AK139" i="20"/>
  <c r="AK140" i="20"/>
  <c r="AK141" i="20"/>
  <c r="AK142" i="20"/>
  <c r="AK143" i="20"/>
  <c r="AK107" i="20"/>
  <c r="AK108" i="20"/>
  <c r="AK109" i="20"/>
  <c r="AK110" i="20"/>
  <c r="AK111" i="20"/>
  <c r="AK112" i="20"/>
  <c r="AK113" i="20"/>
  <c r="AK114" i="20"/>
  <c r="AK115" i="20"/>
  <c r="AK116" i="20"/>
  <c r="AK117" i="20"/>
  <c r="AK118" i="20"/>
  <c r="AK119" i="20"/>
  <c r="AK120" i="20"/>
  <c r="AK121" i="20"/>
  <c r="AK122" i="20"/>
  <c r="AK123" i="20"/>
  <c r="AK124" i="20"/>
  <c r="AK125" i="20"/>
  <c r="T107" i="20"/>
  <c r="T108" i="20"/>
  <c r="T109" i="20"/>
  <c r="T110" i="20"/>
  <c r="T111" i="20"/>
  <c r="T112" i="20"/>
  <c r="T113" i="20"/>
  <c r="T114" i="20"/>
  <c r="T115" i="20"/>
  <c r="T116" i="20"/>
  <c r="T117" i="20"/>
  <c r="T118" i="20"/>
  <c r="T119" i="20"/>
  <c r="T120" i="20"/>
  <c r="T121" i="20"/>
  <c r="T122" i="20"/>
  <c r="T123" i="20"/>
  <c r="T124" i="20"/>
  <c r="T125" i="20"/>
  <c r="T106" i="20"/>
  <c r="B106" i="20"/>
  <c r="B126" i="20"/>
  <c r="B127" i="20"/>
  <c r="B128" i="20"/>
  <c r="B129" i="20"/>
  <c r="B130" i="20"/>
  <c r="B131" i="20"/>
  <c r="B132" i="20"/>
  <c r="B133" i="20"/>
  <c r="B134" i="20"/>
  <c r="B135" i="20"/>
  <c r="B136" i="20"/>
  <c r="B137" i="20"/>
  <c r="B138" i="20"/>
  <c r="B139" i="20"/>
  <c r="B140" i="20"/>
  <c r="B141" i="20"/>
  <c r="B142" i="20"/>
  <c r="B143" i="20"/>
  <c r="B107" i="20"/>
  <c r="B109" i="20"/>
  <c r="B110" i="20"/>
  <c r="B111" i="20"/>
  <c r="B112" i="20"/>
  <c r="B113" i="20"/>
  <c r="B114" i="20"/>
  <c r="B115" i="20"/>
  <c r="B116" i="20"/>
  <c r="B117" i="20"/>
  <c r="B118" i="20"/>
  <c r="B119" i="20"/>
  <c r="B120" i="20"/>
  <c r="B121" i="20"/>
  <c r="B122" i="20"/>
  <c r="B123" i="20"/>
  <c r="B124" i="20"/>
  <c r="B125" i="20"/>
  <c r="C126" i="20"/>
  <c r="C181" i="20" s="1"/>
  <c r="C127" i="20"/>
  <c r="C182" i="20" s="1"/>
  <c r="C128" i="20"/>
  <c r="C183" i="20" s="1"/>
  <c r="C129" i="20"/>
  <c r="C184" i="20" s="1"/>
  <c r="C130" i="20"/>
  <c r="C185" i="20" s="1"/>
  <c r="C131" i="20"/>
  <c r="C186" i="20" s="1"/>
  <c r="C132" i="20"/>
  <c r="C187" i="20" s="1"/>
  <c r="C133" i="20"/>
  <c r="C188" i="20" s="1"/>
  <c r="C134" i="20"/>
  <c r="C189" i="20" s="1"/>
  <c r="C135" i="20"/>
  <c r="C190" i="20" s="1"/>
  <c r="C136" i="20"/>
  <c r="C191" i="20" s="1"/>
  <c r="C137" i="20"/>
  <c r="C192" i="20" s="1"/>
  <c r="C138" i="20"/>
  <c r="C193" i="20" s="1"/>
  <c r="C139" i="20"/>
  <c r="C194" i="20" s="1"/>
  <c r="C140" i="20"/>
  <c r="C195" i="20" s="1"/>
  <c r="C141" i="20"/>
  <c r="C196" i="20" s="1"/>
  <c r="C142" i="20"/>
  <c r="C197" i="20" s="1"/>
  <c r="C143" i="20"/>
  <c r="C198" i="20" s="1"/>
  <c r="C199" i="20"/>
  <c r="C107" i="20"/>
  <c r="C162" i="20" s="1"/>
  <c r="C108" i="20"/>
  <c r="C163" i="20" s="1"/>
  <c r="C109" i="20"/>
  <c r="C164" i="20" s="1"/>
  <c r="C110" i="20"/>
  <c r="C165" i="20" s="1"/>
  <c r="C111" i="20"/>
  <c r="C166" i="20" s="1"/>
  <c r="C112" i="20"/>
  <c r="C167" i="20" s="1"/>
  <c r="C113" i="20"/>
  <c r="C168" i="20" s="1"/>
  <c r="C114" i="20"/>
  <c r="C169" i="20" s="1"/>
  <c r="C115" i="20"/>
  <c r="C170" i="20" s="1"/>
  <c r="C116" i="20"/>
  <c r="C171" i="20" s="1"/>
  <c r="C117" i="20"/>
  <c r="C172" i="20" s="1"/>
  <c r="C118" i="20"/>
  <c r="C173" i="20" s="1"/>
  <c r="C119" i="20"/>
  <c r="C174" i="20" s="1"/>
  <c r="C120" i="20"/>
  <c r="C175" i="20" s="1"/>
  <c r="C121" i="20"/>
  <c r="C176" i="20" s="1"/>
  <c r="C122" i="20"/>
  <c r="C177" i="20" s="1"/>
  <c r="C123" i="20"/>
  <c r="C178" i="20" s="1"/>
  <c r="C124" i="20"/>
  <c r="C179" i="20" s="1"/>
  <c r="C125" i="20"/>
  <c r="C180" i="20" s="1"/>
  <c r="C106" i="20"/>
  <c r="C161" i="20" s="1"/>
  <c r="E88" i="20"/>
  <c r="AA43" i="20"/>
  <c r="Z43" i="20"/>
  <c r="Y43" i="20"/>
  <c r="AD43" i="20" s="1"/>
  <c r="W21" i="20"/>
  <c r="W22" i="20"/>
  <c r="W23" i="20"/>
  <c r="W24" i="20"/>
  <c r="W25" i="20"/>
  <c r="W26" i="20"/>
  <c r="W27" i="20"/>
  <c r="W28" i="20"/>
  <c r="W29" i="20"/>
  <c r="W30" i="20"/>
  <c r="W31" i="20"/>
  <c r="W32" i="20"/>
  <c r="W33" i="20"/>
  <c r="W34" i="20"/>
  <c r="W35" i="20"/>
  <c r="W36" i="20"/>
  <c r="W37" i="20"/>
  <c r="W38" i="20"/>
  <c r="W39" i="20"/>
  <c r="W20" i="20"/>
  <c r="U20" i="20"/>
  <c r="U21" i="20"/>
  <c r="U22" i="20"/>
  <c r="U23" i="20"/>
  <c r="U24" i="20"/>
  <c r="U25" i="20"/>
  <c r="U26" i="20"/>
  <c r="U27" i="20"/>
  <c r="U28" i="20"/>
  <c r="U29" i="20"/>
  <c r="U30" i="20"/>
  <c r="U31" i="20"/>
  <c r="U32" i="20"/>
  <c r="U33" i="20"/>
  <c r="U34" i="20"/>
  <c r="U35" i="20"/>
  <c r="U36" i="20"/>
  <c r="U37" i="20"/>
  <c r="U38" i="20"/>
  <c r="U39" i="20"/>
  <c r="P21" i="20"/>
  <c r="P20" i="20"/>
  <c r="M61" i="20"/>
  <c r="M60" i="20"/>
  <c r="M59" i="20"/>
  <c r="M58" i="20"/>
  <c r="M57" i="20"/>
  <c r="M56" i="20"/>
  <c r="M55" i="20"/>
  <c r="M54" i="20"/>
  <c r="M53" i="20"/>
  <c r="M52" i="20"/>
  <c r="M51" i="20"/>
  <c r="M50" i="20"/>
  <c r="M49" i="20"/>
  <c r="M48" i="20"/>
  <c r="M47" i="20"/>
  <c r="M46" i="20"/>
  <c r="K61" i="20"/>
  <c r="K60" i="20"/>
  <c r="K59" i="20"/>
  <c r="K58" i="20"/>
  <c r="K57" i="20"/>
  <c r="K56" i="20"/>
  <c r="K55" i="20"/>
  <c r="K54" i="20"/>
  <c r="K53" i="20"/>
  <c r="K52" i="20"/>
  <c r="K51" i="20"/>
  <c r="K50" i="20"/>
  <c r="K49" i="20"/>
  <c r="K48" i="20"/>
  <c r="K47" i="20"/>
  <c r="K46" i="20"/>
  <c r="J61" i="20"/>
  <c r="L61" i="20" s="1"/>
  <c r="J60" i="20"/>
  <c r="L60" i="20" s="1"/>
  <c r="J59" i="20"/>
  <c r="L59" i="20" s="1"/>
  <c r="J58" i="20"/>
  <c r="L58" i="20" s="1"/>
  <c r="J57" i="20"/>
  <c r="L57" i="20" s="1"/>
  <c r="J56" i="20"/>
  <c r="L56" i="20" s="1"/>
  <c r="J55" i="20"/>
  <c r="L55" i="20" s="1"/>
  <c r="J54" i="20"/>
  <c r="L54" i="20" s="1"/>
  <c r="J53" i="20"/>
  <c r="L53" i="20" s="1"/>
  <c r="J52" i="20"/>
  <c r="L52" i="20" s="1"/>
  <c r="J51" i="20"/>
  <c r="L51" i="20" s="1"/>
  <c r="J50" i="20"/>
  <c r="L50" i="20" s="1"/>
  <c r="J49" i="20"/>
  <c r="L49" i="20" s="1"/>
  <c r="J48" i="20"/>
  <c r="L48" i="20" s="1"/>
  <c r="J47" i="20"/>
  <c r="L47" i="20" s="1"/>
  <c r="J46" i="20"/>
  <c r="L46" i="20" s="1"/>
  <c r="M39" i="20"/>
  <c r="M38" i="20"/>
  <c r="M37" i="20"/>
  <c r="M36" i="20"/>
  <c r="M35" i="20"/>
  <c r="M34" i="20"/>
  <c r="M33" i="20"/>
  <c r="M32" i="20"/>
  <c r="M31" i="20"/>
  <c r="M30" i="20"/>
  <c r="M29" i="20"/>
  <c r="M28" i="20"/>
  <c r="K39" i="20"/>
  <c r="K38" i="20"/>
  <c r="K37" i="20"/>
  <c r="K36" i="20"/>
  <c r="K35" i="20"/>
  <c r="K34" i="20"/>
  <c r="K33" i="20"/>
  <c r="K32" i="20"/>
  <c r="K31" i="20"/>
  <c r="K30" i="20"/>
  <c r="K29" i="20"/>
  <c r="K28" i="20"/>
  <c r="J39" i="20"/>
  <c r="I39" i="20" s="1"/>
  <c r="J38" i="20"/>
  <c r="I38" i="20" s="1"/>
  <c r="J37" i="20"/>
  <c r="I37" i="20" s="1"/>
  <c r="J36" i="20"/>
  <c r="I36" i="20" s="1"/>
  <c r="J35" i="20"/>
  <c r="I35" i="20" s="1"/>
  <c r="J34" i="20"/>
  <c r="I34" i="20" s="1"/>
  <c r="J33" i="20"/>
  <c r="I33" i="20" s="1"/>
  <c r="J32" i="20"/>
  <c r="I32" i="20" s="1"/>
  <c r="J31" i="20"/>
  <c r="I31" i="20" s="1"/>
  <c r="J30" i="20"/>
  <c r="I30" i="20" s="1"/>
  <c r="J29" i="20"/>
  <c r="I29" i="20" s="1"/>
  <c r="J28" i="20"/>
  <c r="I28" i="20" s="1"/>
  <c r="T21" i="20"/>
  <c r="V21" i="20" s="1"/>
  <c r="T22" i="20"/>
  <c r="V22" i="20" s="1"/>
  <c r="T23" i="20"/>
  <c r="V23" i="20" s="1"/>
  <c r="T24" i="20"/>
  <c r="V24" i="20" s="1"/>
  <c r="T25" i="20"/>
  <c r="V25" i="20" s="1"/>
  <c r="T26" i="20"/>
  <c r="V26" i="20" s="1"/>
  <c r="T27" i="20"/>
  <c r="V27" i="20" s="1"/>
  <c r="T28" i="20"/>
  <c r="V28" i="20" s="1"/>
  <c r="T29" i="20"/>
  <c r="V29" i="20" s="1"/>
  <c r="T30" i="20"/>
  <c r="V30" i="20" s="1"/>
  <c r="T31" i="20"/>
  <c r="V31" i="20" s="1"/>
  <c r="T32" i="20"/>
  <c r="V32" i="20" s="1"/>
  <c r="T33" i="20"/>
  <c r="V33" i="20" s="1"/>
  <c r="T34" i="20"/>
  <c r="V34" i="20" s="1"/>
  <c r="T35" i="20"/>
  <c r="V35" i="20" s="1"/>
  <c r="T36" i="20"/>
  <c r="V36" i="20" s="1"/>
  <c r="T37" i="20"/>
  <c r="V37" i="20" s="1"/>
  <c r="T38" i="20"/>
  <c r="V38" i="20" s="1"/>
  <c r="T39" i="20"/>
  <c r="V39" i="20" s="1"/>
  <c r="T20" i="20"/>
  <c r="V20" i="20" s="1"/>
  <c r="O21" i="20"/>
  <c r="Q21" i="20" s="1"/>
  <c r="O22" i="20"/>
  <c r="Q22" i="20" s="1"/>
  <c r="O23" i="20"/>
  <c r="Q23" i="20" s="1"/>
  <c r="O24" i="20"/>
  <c r="Q24" i="20" s="1"/>
  <c r="O25" i="20"/>
  <c r="Q25" i="20" s="1"/>
  <c r="O26" i="20"/>
  <c r="Q26" i="20" s="1"/>
  <c r="O27" i="20"/>
  <c r="Q27" i="20" s="1"/>
  <c r="O28" i="20"/>
  <c r="Q28" i="20" s="1"/>
  <c r="O29" i="20"/>
  <c r="Q29" i="20" s="1"/>
  <c r="O30" i="20"/>
  <c r="Q30" i="20" s="1"/>
  <c r="O31" i="20"/>
  <c r="Q31" i="20" s="1"/>
  <c r="O32" i="20"/>
  <c r="Q32" i="20" s="1"/>
  <c r="O33" i="20"/>
  <c r="Q33" i="20" s="1"/>
  <c r="O34" i="20"/>
  <c r="Q34" i="20" s="1"/>
  <c r="O35" i="20"/>
  <c r="Q35" i="20" s="1"/>
  <c r="O36" i="20"/>
  <c r="Q36" i="20" s="1"/>
  <c r="O37" i="20"/>
  <c r="Q37" i="20" s="1"/>
  <c r="O38" i="20"/>
  <c r="Q38" i="20" s="1"/>
  <c r="O39" i="20"/>
  <c r="Q39" i="20" s="1"/>
  <c r="O20" i="20"/>
  <c r="Q20" i="20" s="1"/>
  <c r="I20" i="20"/>
  <c r="AB44" i="20"/>
  <c r="I21" i="20"/>
  <c r="I22" i="20"/>
  <c r="I24" i="20"/>
  <c r="I25" i="20"/>
  <c r="I26" i="20"/>
  <c r="I27" i="20"/>
  <c r="M4" i="20"/>
  <c r="N4" i="20" s="1"/>
  <c r="M7" i="20"/>
  <c r="N7" i="20" s="1"/>
  <c r="O7" i="20" s="1"/>
  <c r="M8" i="20"/>
  <c r="N8" i="20" s="1"/>
  <c r="O8" i="20" s="1"/>
  <c r="N3" i="20"/>
  <c r="O3" i="20" s="1"/>
  <c r="K88" i="14" l="1"/>
  <c r="FU39" i="27"/>
  <c r="FA39" i="27"/>
  <c r="EG39" i="27"/>
  <c r="DM39" i="27"/>
  <c r="CS39" i="27"/>
  <c r="AM9" i="24" s="1"/>
  <c r="BY39" i="27"/>
  <c r="AA9" i="24" s="1"/>
  <c r="EL39" i="27"/>
  <c r="BJ39" i="27"/>
  <c r="R9" i="24" s="1"/>
  <c r="FP39" i="27"/>
  <c r="EV39" i="27"/>
  <c r="EB39" i="27"/>
  <c r="DH39" i="27"/>
  <c r="CN39" i="27"/>
  <c r="AJ9" i="24" s="1"/>
  <c r="BT39" i="27"/>
  <c r="X9" i="24" s="1"/>
  <c r="FF39" i="27"/>
  <c r="CX39" i="27"/>
  <c r="FK39" i="27"/>
  <c r="EQ39" i="27"/>
  <c r="DW39" i="27"/>
  <c r="DC39" i="27"/>
  <c r="CI39" i="27"/>
  <c r="AG9" i="24" s="1"/>
  <c r="FZ39" i="27"/>
  <c r="DR39" i="27"/>
  <c r="CD39" i="27"/>
  <c r="AD9" i="24" s="1"/>
  <c r="FU51" i="27"/>
  <c r="FA51" i="27"/>
  <c r="EG51" i="27"/>
  <c r="DM51" i="27"/>
  <c r="CS51" i="27"/>
  <c r="AM21" i="24" s="1"/>
  <c r="BY51" i="27"/>
  <c r="AA21" i="24" s="1"/>
  <c r="EQ51" i="27"/>
  <c r="DC51" i="27"/>
  <c r="FZ51" i="27"/>
  <c r="FF51" i="27"/>
  <c r="EL51" i="27"/>
  <c r="CX51" i="27"/>
  <c r="BJ51" i="27"/>
  <c r="R21" i="24" s="1"/>
  <c r="FP51" i="27"/>
  <c r="EV51" i="27"/>
  <c r="EB51" i="27"/>
  <c r="DH51" i="27"/>
  <c r="CN51" i="27"/>
  <c r="AJ21" i="24" s="1"/>
  <c r="BT51" i="27"/>
  <c r="X21" i="24" s="1"/>
  <c r="FK51" i="27"/>
  <c r="DW51" i="27"/>
  <c r="CI51" i="27"/>
  <c r="AG21" i="24" s="1"/>
  <c r="DR51" i="27"/>
  <c r="CD51" i="27"/>
  <c r="AD21" i="24" s="1"/>
  <c r="O9" i="24"/>
  <c r="O21" i="24"/>
  <c r="F21" i="24"/>
  <c r="I21" i="24"/>
  <c r="U21" i="24"/>
  <c r="L21" i="24"/>
  <c r="I9" i="24"/>
  <c r="F9" i="24"/>
  <c r="U9" i="24"/>
  <c r="L9" i="24"/>
  <c r="N145" i="20"/>
  <c r="L145" i="20"/>
  <c r="M145" i="20"/>
  <c r="R145" i="20"/>
  <c r="C21" i="24"/>
  <c r="L163" i="27"/>
  <c r="J9" i="14"/>
  <c r="L126" i="27"/>
  <c r="L142" i="27"/>
  <c r="L134" i="27"/>
  <c r="L145" i="27"/>
  <c r="L160" i="27"/>
  <c r="L152" i="27"/>
  <c r="L137" i="27"/>
  <c r="L133" i="27"/>
  <c r="L155" i="27"/>
  <c r="L151" i="27"/>
  <c r="L144" i="27"/>
  <c r="L140" i="27"/>
  <c r="L136" i="27"/>
  <c r="L132" i="27"/>
  <c r="L128" i="27"/>
  <c r="L162" i="27"/>
  <c r="L158" i="27"/>
  <c r="L154" i="27"/>
  <c r="L150" i="27"/>
  <c r="L146" i="27"/>
  <c r="L138" i="27"/>
  <c r="L130" i="27"/>
  <c r="L156" i="27"/>
  <c r="L148" i="27"/>
  <c r="L141" i="27"/>
  <c r="L129" i="27"/>
  <c r="L159" i="27"/>
  <c r="L147" i="27"/>
  <c r="L143" i="27"/>
  <c r="L139" i="27"/>
  <c r="L135" i="27"/>
  <c r="L131" i="27"/>
  <c r="L127" i="27"/>
  <c r="L161" i="27"/>
  <c r="L157" i="27"/>
  <c r="L153" i="27"/>
  <c r="L149" i="27"/>
  <c r="AB46" i="20"/>
  <c r="BE128" i="20" s="1"/>
  <c r="BN128" i="20" s="1"/>
  <c r="AB47" i="20"/>
  <c r="AN129" i="20" s="1"/>
  <c r="AB49" i="20"/>
  <c r="W131" i="20" s="1"/>
  <c r="AB50" i="20"/>
  <c r="AN132" i="20" s="1"/>
  <c r="AB52" i="20"/>
  <c r="BV134" i="20" s="1"/>
  <c r="AB53" i="20"/>
  <c r="BE135" i="20" s="1"/>
  <c r="AB54" i="20"/>
  <c r="AN136" i="20" s="1"/>
  <c r="AB55" i="20"/>
  <c r="BE137" i="20" s="1"/>
  <c r="AB57" i="20"/>
  <c r="BE139" i="20" s="1"/>
  <c r="AB58" i="20"/>
  <c r="BE140" i="20" s="1"/>
  <c r="AB60" i="20"/>
  <c r="BV142" i="20" s="1"/>
  <c r="AB61" i="20"/>
  <c r="W143" i="20" s="1"/>
  <c r="AB45" i="20"/>
  <c r="AB56" i="20"/>
  <c r="BE126" i="20"/>
  <c r="BN126" i="20" s="1"/>
  <c r="W126" i="20"/>
  <c r="AF126" i="20" s="1"/>
  <c r="BV126" i="20"/>
  <c r="CE126" i="20" s="1"/>
  <c r="AN126" i="20"/>
  <c r="AW126" i="20" s="1"/>
  <c r="AB48" i="20"/>
  <c r="F130" i="20" s="1"/>
  <c r="L130" i="20" s="1"/>
  <c r="AB51" i="20"/>
  <c r="F133" i="20" s="1"/>
  <c r="L133" i="20" s="1"/>
  <c r="AB59" i="20"/>
  <c r="F141" i="20" s="1"/>
  <c r="L141" i="20" s="1"/>
  <c r="W35" i="27"/>
  <c r="AP50" i="27" s="1"/>
  <c r="W53" i="27"/>
  <c r="W37" i="27"/>
  <c r="BE50" i="27" s="1"/>
  <c r="W60" i="27"/>
  <c r="W50" i="27"/>
  <c r="W61" i="27"/>
  <c r="W63" i="27"/>
  <c r="W65" i="27"/>
  <c r="W58" i="27"/>
  <c r="W48" i="27"/>
  <c r="W62" i="27"/>
  <c r="W70" i="27"/>
  <c r="W57" i="27"/>
  <c r="W52" i="27"/>
  <c r="W68" i="27"/>
  <c r="W71" i="27"/>
  <c r="W67" i="27"/>
  <c r="W40" i="27"/>
  <c r="W59" i="27"/>
  <c r="W56" i="27"/>
  <c r="W42" i="27"/>
  <c r="W44" i="27"/>
  <c r="W66" i="27"/>
  <c r="W36" i="27"/>
  <c r="AU50" i="27" s="1"/>
  <c r="W47" i="27"/>
  <c r="W38" i="27"/>
  <c r="W51" i="27"/>
  <c r="W54" i="27"/>
  <c r="W49" i="27"/>
  <c r="W64" i="27"/>
  <c r="W39" i="27"/>
  <c r="W41" i="27"/>
  <c r="W43" i="27"/>
  <c r="W45" i="27"/>
  <c r="W46" i="27"/>
  <c r="W34" i="27"/>
  <c r="AK50" i="27" s="1"/>
  <c r="W69" i="27"/>
  <c r="W72" i="27"/>
  <c r="AB43" i="20"/>
  <c r="AS80" i="1"/>
  <c r="F11" i="14" s="1"/>
  <c r="H11" i="14" s="1"/>
  <c r="B14" i="27"/>
  <c r="AS84" i="1"/>
  <c r="AS16" i="1"/>
  <c r="E94" i="1"/>
  <c r="E87" i="1"/>
  <c r="AS87" i="1" s="1"/>
  <c r="AD50" i="20"/>
  <c r="AD59" i="20"/>
  <c r="AD62" i="20"/>
  <c r="AD58" i="20"/>
  <c r="AD51" i="20"/>
  <c r="AD31" i="20"/>
  <c r="S34" i="20"/>
  <c r="S33" i="20"/>
  <c r="S32" i="20"/>
  <c r="X35" i="20"/>
  <c r="X33" i="20"/>
  <c r="X27" i="20"/>
  <c r="X25" i="20"/>
  <c r="AD35" i="20"/>
  <c r="AD27" i="20"/>
  <c r="S23" i="20"/>
  <c r="E89" i="20"/>
  <c r="AD23" i="20"/>
  <c r="AD37" i="20"/>
  <c r="AD29" i="20"/>
  <c r="AD53" i="20"/>
  <c r="AD61" i="20"/>
  <c r="AD49" i="20"/>
  <c r="AD57" i="20"/>
  <c r="L25" i="20"/>
  <c r="AB25" i="20" s="1"/>
  <c r="S24" i="20"/>
  <c r="O4" i="20"/>
  <c r="S38" i="20"/>
  <c r="S30" i="20"/>
  <c r="S27" i="20"/>
  <c r="AD20" i="20"/>
  <c r="AD38" i="20"/>
  <c r="H124" i="20" s="1"/>
  <c r="AD30" i="20"/>
  <c r="H116" i="20" s="1"/>
  <c r="AD22" i="20"/>
  <c r="H108" i="20" s="1"/>
  <c r="AD48" i="20"/>
  <c r="AD56" i="20"/>
  <c r="AD52" i="20"/>
  <c r="AD60" i="20"/>
  <c r="L26" i="20"/>
  <c r="AB26" i="20" s="1"/>
  <c r="S31" i="20"/>
  <c r="S22" i="20"/>
  <c r="X26" i="20"/>
  <c r="X34" i="20"/>
  <c r="S28" i="20"/>
  <c r="AD32" i="20"/>
  <c r="H118" i="20" s="1"/>
  <c r="AD24" i="20"/>
  <c r="H110" i="20" s="1"/>
  <c r="L23" i="20"/>
  <c r="AB23" i="20" s="1"/>
  <c r="L22" i="20"/>
  <c r="AB22" i="20" s="1"/>
  <c r="S26" i="20"/>
  <c r="S25" i="20"/>
  <c r="X38" i="20"/>
  <c r="X22" i="20"/>
  <c r="L30" i="20"/>
  <c r="AB30" i="20" s="1"/>
  <c r="L38" i="20"/>
  <c r="AB38" i="20" s="1"/>
  <c r="L21" i="20"/>
  <c r="AB21" i="20" s="1"/>
  <c r="L27" i="20"/>
  <c r="AB27" i="20" s="1"/>
  <c r="S39" i="20"/>
  <c r="L33" i="20"/>
  <c r="AB33" i="20" s="1"/>
  <c r="X30" i="20"/>
  <c r="X20" i="20"/>
  <c r="X32" i="20"/>
  <c r="X24" i="20"/>
  <c r="AD54" i="20"/>
  <c r="M5" i="20"/>
  <c r="N5" i="20" s="1"/>
  <c r="L29" i="20"/>
  <c r="AB29" i="20" s="1"/>
  <c r="L37" i="20"/>
  <c r="AB37" i="20" s="1"/>
  <c r="X31" i="20"/>
  <c r="L39" i="20"/>
  <c r="AB39" i="20" s="1"/>
  <c r="AD21" i="20"/>
  <c r="H107" i="20" s="1"/>
  <c r="AD33" i="20"/>
  <c r="H119" i="20" s="1"/>
  <c r="AD25" i="20"/>
  <c r="H111" i="20" s="1"/>
  <c r="X23" i="20"/>
  <c r="X39" i="20"/>
  <c r="L32" i="20"/>
  <c r="AB32" i="20" s="1"/>
  <c r="AD39" i="20"/>
  <c r="H125" i="20" s="1"/>
  <c r="AD44" i="20"/>
  <c r="AD46" i="20"/>
  <c r="AD45" i="20"/>
  <c r="AD47" i="20"/>
  <c r="AD55" i="20"/>
  <c r="AD36" i="20"/>
  <c r="H122" i="20" s="1"/>
  <c r="AD28" i="20"/>
  <c r="H114" i="20" s="1"/>
  <c r="AD34" i="20"/>
  <c r="H120" i="20" s="1"/>
  <c r="AD26" i="20"/>
  <c r="H112" i="20" s="1"/>
  <c r="X36" i="20"/>
  <c r="X28" i="20"/>
  <c r="X21" i="20"/>
  <c r="X37" i="20"/>
  <c r="X29" i="20"/>
  <c r="L34" i="20"/>
  <c r="AB34" i="20" s="1"/>
  <c r="L35" i="20"/>
  <c r="AB35" i="20" s="1"/>
  <c r="S35" i="20"/>
  <c r="S29" i="20"/>
  <c r="S37" i="20"/>
  <c r="S21" i="20"/>
  <c r="S36" i="20"/>
  <c r="S20" i="20"/>
  <c r="N60" i="20"/>
  <c r="AC60" i="20" s="1"/>
  <c r="N52" i="20"/>
  <c r="AC52" i="20" s="1"/>
  <c r="N44" i="20"/>
  <c r="AC44" i="20" s="1"/>
  <c r="N45" i="20"/>
  <c r="AC45" i="20" s="1"/>
  <c r="N50" i="20"/>
  <c r="AC50" i="20" s="1"/>
  <c r="N53" i="20"/>
  <c r="AC53" i="20" s="1"/>
  <c r="N54" i="20"/>
  <c r="AC54" i="20" s="1"/>
  <c r="N55" i="20"/>
  <c r="AC55" i="20" s="1"/>
  <c r="L31" i="20"/>
  <c r="AB31" i="20" s="1"/>
  <c r="N61" i="20"/>
  <c r="AC61" i="20" s="1"/>
  <c r="L20" i="20"/>
  <c r="N46" i="20"/>
  <c r="AC46" i="20" s="1"/>
  <c r="N47" i="20"/>
  <c r="AC47" i="20" s="1"/>
  <c r="L36" i="20"/>
  <c r="AB36" i="20" s="1"/>
  <c r="L28" i="20"/>
  <c r="AB28" i="20" s="1"/>
  <c r="N57" i="20"/>
  <c r="AC57" i="20" s="1"/>
  <c r="N58" i="20"/>
  <c r="AC58" i="20" s="1"/>
  <c r="N49" i="20"/>
  <c r="AC49" i="20" s="1"/>
  <c r="L24" i="20"/>
  <c r="AB24" i="20" s="1"/>
  <c r="F144" i="20"/>
  <c r="L144" i="20" s="1"/>
  <c r="AC62" i="20"/>
  <c r="N43" i="20"/>
  <c r="N51" i="20"/>
  <c r="AC51" i="20" s="1"/>
  <c r="N59" i="20"/>
  <c r="AC59" i="20" s="1"/>
  <c r="F126" i="20"/>
  <c r="O126" i="20" s="1"/>
  <c r="N48" i="20"/>
  <c r="AC48" i="20" s="1"/>
  <c r="N56" i="20"/>
  <c r="AC56" i="20" s="1"/>
  <c r="FF50" i="27" l="1"/>
  <c r="FK50" i="27"/>
  <c r="EG50" i="27"/>
  <c r="DM50" i="27"/>
  <c r="CS50" i="27"/>
  <c r="AM20" i="24" s="1"/>
  <c r="BY50" i="27"/>
  <c r="AA20" i="24" s="1"/>
  <c r="FZ50" i="27"/>
  <c r="FA50" i="27"/>
  <c r="DH50" i="27"/>
  <c r="BT50" i="27"/>
  <c r="X20" i="24" s="1"/>
  <c r="EV50" i="27"/>
  <c r="CI50" i="27"/>
  <c r="AG20" i="24" s="1"/>
  <c r="EQ50" i="27"/>
  <c r="CX50" i="27"/>
  <c r="BJ50" i="27"/>
  <c r="R20" i="24" s="1"/>
  <c r="EB50" i="27"/>
  <c r="CN50" i="27"/>
  <c r="AJ20" i="24" s="1"/>
  <c r="FU50" i="27"/>
  <c r="DW50" i="27"/>
  <c r="DC50" i="27"/>
  <c r="EL50" i="27"/>
  <c r="FP50" i="27"/>
  <c r="DR50" i="27"/>
  <c r="CD50" i="27"/>
  <c r="AD20" i="24" s="1"/>
  <c r="O20" i="24"/>
  <c r="L20" i="24"/>
  <c r="F20" i="24"/>
  <c r="U20" i="24"/>
  <c r="I20" i="24"/>
  <c r="AE145" i="20"/>
  <c r="AC145" i="20"/>
  <c r="AD145" i="20"/>
  <c r="AZ145" i="20"/>
  <c r="AI145" i="20"/>
  <c r="C20" i="24"/>
  <c r="F134" i="20"/>
  <c r="F128" i="20"/>
  <c r="L128" i="20" s="1"/>
  <c r="AN140" i="20"/>
  <c r="F140" i="20"/>
  <c r="BV128" i="20"/>
  <c r="CE128" i="20" s="1"/>
  <c r="W142" i="20"/>
  <c r="F136" i="20"/>
  <c r="L136" i="20" s="1"/>
  <c r="BV129" i="20"/>
  <c r="F131" i="20"/>
  <c r="F142" i="20"/>
  <c r="BE134" i="20"/>
  <c r="AN128" i="20"/>
  <c r="AW128" i="20" s="1"/>
  <c r="W139" i="20"/>
  <c r="W134" i="20"/>
  <c r="AN139" i="20"/>
  <c r="BD110" i="20"/>
  <c r="BC165" i="20" s="1"/>
  <c r="W135" i="20"/>
  <c r="F135" i="20"/>
  <c r="F129" i="20"/>
  <c r="W129" i="20"/>
  <c r="AN134" i="20"/>
  <c r="W140" i="20"/>
  <c r="W128" i="20"/>
  <c r="AF128" i="20" s="1"/>
  <c r="BV139" i="20"/>
  <c r="BV135" i="20"/>
  <c r="BE129" i="20"/>
  <c r="BV140" i="20"/>
  <c r="AN135" i="20"/>
  <c r="F139" i="20"/>
  <c r="W136" i="20"/>
  <c r="AC136" i="20" s="1"/>
  <c r="AN143" i="20"/>
  <c r="BE142" i="20"/>
  <c r="BV136" i="20"/>
  <c r="CE136" i="20" s="1"/>
  <c r="AN131" i="20"/>
  <c r="W137" i="20"/>
  <c r="BV132" i="20"/>
  <c r="BV131" i="20"/>
  <c r="AN137" i="20"/>
  <c r="W132" i="20"/>
  <c r="BV143" i="20"/>
  <c r="F132" i="20"/>
  <c r="BV137" i="20"/>
  <c r="BE136" i="20"/>
  <c r="BN136" i="20" s="1"/>
  <c r="BE132" i="20"/>
  <c r="BE143" i="20"/>
  <c r="BE131" i="20"/>
  <c r="AN142" i="20"/>
  <c r="F143" i="20"/>
  <c r="F137" i="20"/>
  <c r="G141" i="20"/>
  <c r="BW141" i="20"/>
  <c r="CF141" i="20" s="1"/>
  <c r="AO141" i="20"/>
  <c r="X141" i="20"/>
  <c r="BF141" i="20"/>
  <c r="G139" i="20"/>
  <c r="BF139" i="20"/>
  <c r="BW139" i="20"/>
  <c r="CF139" i="20" s="1"/>
  <c r="AO139" i="20"/>
  <c r="X139" i="20"/>
  <c r="G127" i="20"/>
  <c r="P127" i="20" s="1"/>
  <c r="BF127" i="20"/>
  <c r="BO127" i="20" s="1"/>
  <c r="BW127" i="20"/>
  <c r="CF127" i="20" s="1"/>
  <c r="AO127" i="20"/>
  <c r="AX127" i="20" s="1"/>
  <c r="X127" i="20"/>
  <c r="AG127" i="20" s="1"/>
  <c r="H136" i="20"/>
  <c r="N136" i="20" s="1"/>
  <c r="BG136" i="20"/>
  <c r="BP136" i="20" s="1"/>
  <c r="BX136" i="20"/>
  <c r="CG136" i="20" s="1"/>
  <c r="AP136" i="20"/>
  <c r="AY136" i="20" s="1"/>
  <c r="Y136" i="20"/>
  <c r="AE136" i="20" s="1"/>
  <c r="G131" i="20"/>
  <c r="BF131" i="20"/>
  <c r="BW131" i="20"/>
  <c r="CF131" i="20" s="1"/>
  <c r="AO131" i="20"/>
  <c r="X131" i="20"/>
  <c r="G129" i="20"/>
  <c r="BW129" i="20"/>
  <c r="CF129" i="20" s="1"/>
  <c r="AO129" i="20"/>
  <c r="X129" i="20"/>
  <c r="BF129" i="20"/>
  <c r="G143" i="20"/>
  <c r="BF143" i="20"/>
  <c r="BW143" i="20"/>
  <c r="CF143" i="20" s="1"/>
  <c r="AO143" i="20"/>
  <c r="X143" i="20"/>
  <c r="G137" i="20"/>
  <c r="BW137" i="20"/>
  <c r="CF137" i="20" s="1"/>
  <c r="AO137" i="20"/>
  <c r="X137" i="20"/>
  <c r="BF137" i="20"/>
  <c r="G126" i="20"/>
  <c r="P126" i="20" s="1"/>
  <c r="BF126" i="20"/>
  <c r="BO126" i="20" s="1"/>
  <c r="X126" i="20"/>
  <c r="AG126" i="20" s="1"/>
  <c r="BW126" i="20"/>
  <c r="CF126" i="20" s="1"/>
  <c r="AO126" i="20"/>
  <c r="AX126" i="20" s="1"/>
  <c r="H137" i="20"/>
  <c r="BX137" i="20"/>
  <c r="AP137" i="20"/>
  <c r="Y137" i="20"/>
  <c r="BG137" i="20"/>
  <c r="H128" i="20"/>
  <c r="BG128" i="20"/>
  <c r="BX128" i="20"/>
  <c r="AP128" i="20"/>
  <c r="Y128" i="20"/>
  <c r="H130" i="20"/>
  <c r="BX130" i="20"/>
  <c r="AP130" i="20"/>
  <c r="Y130" i="20"/>
  <c r="BG130" i="20"/>
  <c r="BG135" i="20"/>
  <c r="BP135" i="20" s="1"/>
  <c r="Y135" i="20"/>
  <c r="AE135" i="20" s="1"/>
  <c r="BX135" i="20"/>
  <c r="CG135" i="20" s="1"/>
  <c r="AP135" i="20"/>
  <c r="AY135" i="20" s="1"/>
  <c r="BX141" i="20"/>
  <c r="AP141" i="20"/>
  <c r="Y141" i="20"/>
  <c r="BG141" i="20"/>
  <c r="BE133" i="20"/>
  <c r="BN133" i="20" s="1"/>
  <c r="BV133" i="20"/>
  <c r="CE133" i="20" s="1"/>
  <c r="W133" i="20"/>
  <c r="AC133" i="20" s="1"/>
  <c r="AN133" i="20"/>
  <c r="AW133" i="20" s="1"/>
  <c r="BE138" i="20"/>
  <c r="W138" i="20"/>
  <c r="BV138" i="20"/>
  <c r="AN138" i="20"/>
  <c r="G138" i="20"/>
  <c r="BF138" i="20"/>
  <c r="X138" i="20"/>
  <c r="BW138" i="20"/>
  <c r="CF138" i="20" s="1"/>
  <c r="AO138" i="20"/>
  <c r="G128" i="20"/>
  <c r="X128" i="20"/>
  <c r="BW128" i="20"/>
  <c r="CF128" i="20" s="1"/>
  <c r="AO128" i="20"/>
  <c r="BF128" i="20"/>
  <c r="G134" i="20"/>
  <c r="BF134" i="20"/>
  <c r="BW134" i="20"/>
  <c r="CF134" i="20" s="1"/>
  <c r="X134" i="20"/>
  <c r="AO134" i="20"/>
  <c r="H129" i="20"/>
  <c r="BX129" i="20"/>
  <c r="AP129" i="20"/>
  <c r="BG129" i="20"/>
  <c r="Y129" i="20"/>
  <c r="BX133" i="20"/>
  <c r="AP133" i="20"/>
  <c r="BG133" i="20"/>
  <c r="Y133" i="20"/>
  <c r="BG132" i="20"/>
  <c r="BX132" i="20"/>
  <c r="AP132" i="20"/>
  <c r="Y132" i="20"/>
  <c r="F138" i="20"/>
  <c r="G136" i="20"/>
  <c r="X136" i="20"/>
  <c r="BW136" i="20"/>
  <c r="CF136" i="20" s="1"/>
  <c r="AO136" i="20"/>
  <c r="BF136" i="20"/>
  <c r="G132" i="20"/>
  <c r="X132" i="20"/>
  <c r="BW132" i="20"/>
  <c r="CF132" i="20" s="1"/>
  <c r="AO132" i="20"/>
  <c r="BF132" i="20"/>
  <c r="H126" i="20"/>
  <c r="N126" i="20" s="1"/>
  <c r="BX126" i="20"/>
  <c r="CG126" i="20" s="1"/>
  <c r="AP126" i="20"/>
  <c r="AY126" i="20" s="1"/>
  <c r="Y126" i="20"/>
  <c r="AH126" i="20" s="1"/>
  <c r="BG126" i="20"/>
  <c r="BP126" i="20" s="1"/>
  <c r="H142" i="20"/>
  <c r="N142" i="20" s="1"/>
  <c r="BX142" i="20"/>
  <c r="CG142" i="20" s="1"/>
  <c r="AP142" i="20"/>
  <c r="AY142" i="20" s="1"/>
  <c r="Y142" i="20"/>
  <c r="AE142" i="20" s="1"/>
  <c r="BG142" i="20"/>
  <c r="BP142" i="20" s="1"/>
  <c r="BG139" i="20"/>
  <c r="Y139" i="20"/>
  <c r="BX139" i="20"/>
  <c r="AP139" i="20"/>
  <c r="G133" i="20"/>
  <c r="BW133" i="20"/>
  <c r="CF133" i="20" s="1"/>
  <c r="AO133" i="20"/>
  <c r="X133" i="20"/>
  <c r="BF133" i="20"/>
  <c r="G140" i="20"/>
  <c r="X140" i="20"/>
  <c r="BW140" i="20"/>
  <c r="CF140" i="20" s="1"/>
  <c r="AO140" i="20"/>
  <c r="BF140" i="20"/>
  <c r="G142" i="20"/>
  <c r="BF142" i="20"/>
  <c r="X142" i="20"/>
  <c r="AO142" i="20"/>
  <c r="BW142" i="20"/>
  <c r="CF142" i="20" s="1"/>
  <c r="H134" i="20"/>
  <c r="BX134" i="20"/>
  <c r="CG134" i="20" s="1"/>
  <c r="AP134" i="20"/>
  <c r="Y134" i="20"/>
  <c r="AH134" i="20" s="1"/>
  <c r="BG134" i="20"/>
  <c r="BG131" i="20"/>
  <c r="Y131" i="20"/>
  <c r="BX131" i="20"/>
  <c r="AP131" i="20"/>
  <c r="BG140" i="20"/>
  <c r="BX140" i="20"/>
  <c r="AP140" i="20"/>
  <c r="Y140" i="20"/>
  <c r="BE141" i="20"/>
  <c r="BN141" i="20" s="1"/>
  <c r="BV141" i="20"/>
  <c r="CE141" i="20" s="1"/>
  <c r="W141" i="20"/>
  <c r="AF141" i="20" s="1"/>
  <c r="AN141" i="20"/>
  <c r="AW141" i="20" s="1"/>
  <c r="BE130" i="20"/>
  <c r="BN130" i="20" s="1"/>
  <c r="W130" i="20"/>
  <c r="AF130" i="20" s="1"/>
  <c r="BV130" i="20"/>
  <c r="CE130" i="20" s="1"/>
  <c r="AN130" i="20"/>
  <c r="AW130" i="20" s="1"/>
  <c r="BV127" i="20"/>
  <c r="CE127" i="20" s="1"/>
  <c r="AN127" i="20"/>
  <c r="AW127" i="20" s="1"/>
  <c r="W127" i="20"/>
  <c r="AF127" i="20" s="1"/>
  <c r="BE127" i="20"/>
  <c r="BN127" i="20" s="1"/>
  <c r="G130" i="20"/>
  <c r="BF130" i="20"/>
  <c r="X130" i="20"/>
  <c r="BW130" i="20"/>
  <c r="CF130" i="20" s="1"/>
  <c r="AO130" i="20"/>
  <c r="G135" i="20"/>
  <c r="BF135" i="20"/>
  <c r="BW135" i="20"/>
  <c r="CF135" i="20" s="1"/>
  <c r="AO135" i="20"/>
  <c r="X135" i="20"/>
  <c r="H127" i="20"/>
  <c r="N127" i="20" s="1"/>
  <c r="BG127" i="20"/>
  <c r="BP127" i="20" s="1"/>
  <c r="Y127" i="20"/>
  <c r="AH127" i="20" s="1"/>
  <c r="BX127" i="20"/>
  <c r="CG127" i="20" s="1"/>
  <c r="AP127" i="20"/>
  <c r="AY127" i="20" s="1"/>
  <c r="H138" i="20"/>
  <c r="N138" i="20" s="1"/>
  <c r="BX138" i="20"/>
  <c r="CG138" i="20" s="1"/>
  <c r="AP138" i="20"/>
  <c r="AY138" i="20" s="1"/>
  <c r="Y138" i="20"/>
  <c r="AE138" i="20" s="1"/>
  <c r="BG138" i="20"/>
  <c r="BP138" i="20" s="1"/>
  <c r="H143" i="20"/>
  <c r="N143" i="20" s="1"/>
  <c r="BG143" i="20"/>
  <c r="BP143" i="20" s="1"/>
  <c r="Y143" i="20"/>
  <c r="AE143" i="20" s="1"/>
  <c r="AP143" i="20"/>
  <c r="AY143" i="20" s="1"/>
  <c r="BX143" i="20"/>
  <c r="CG143" i="20" s="1"/>
  <c r="F127" i="20"/>
  <c r="G144" i="20"/>
  <c r="BW144" i="20"/>
  <c r="CF144" i="20" s="1"/>
  <c r="BF144" i="20"/>
  <c r="BO144" i="20" s="1"/>
  <c r="AO144" i="20"/>
  <c r="X144" i="20"/>
  <c r="H144" i="20"/>
  <c r="N144" i="20" s="1"/>
  <c r="BG144" i="20"/>
  <c r="AP144" i="20"/>
  <c r="AY144" i="20" s="1"/>
  <c r="Y144" i="20"/>
  <c r="AE144" i="20" s="1"/>
  <c r="AC43" i="20"/>
  <c r="B15" i="27"/>
  <c r="M34" i="27" s="1"/>
  <c r="L34" i="27"/>
  <c r="L126" i="20"/>
  <c r="H131" i="20"/>
  <c r="H135" i="20"/>
  <c r="N135" i="20" s="1"/>
  <c r="H133" i="20"/>
  <c r="H132" i="20"/>
  <c r="H140" i="20"/>
  <c r="H139" i="20"/>
  <c r="H141" i="20"/>
  <c r="BX115" i="20"/>
  <c r="CG115" i="20" s="1"/>
  <c r="H115" i="20"/>
  <c r="Y109" i="20"/>
  <c r="AE109" i="20" s="1"/>
  <c r="H109" i="20"/>
  <c r="H117" i="20"/>
  <c r="BG123" i="20"/>
  <c r="BP123" i="20" s="1"/>
  <c r="H123" i="20"/>
  <c r="AP113" i="20"/>
  <c r="AY113" i="20" s="1"/>
  <c r="H113" i="20"/>
  <c r="N113" i="20" s="1"/>
  <c r="BG121" i="20"/>
  <c r="BP121" i="20" s="1"/>
  <c r="H121" i="20"/>
  <c r="O5" i="20"/>
  <c r="AC126" i="20"/>
  <c r="E90" i="20"/>
  <c r="BD113" i="20"/>
  <c r="BC168" i="20" s="1"/>
  <c r="BD111" i="20"/>
  <c r="BC166" i="20" s="1"/>
  <c r="BC127" i="20"/>
  <c r="BC113" i="20"/>
  <c r="BD130" i="20"/>
  <c r="BC185" i="20" s="1"/>
  <c r="BC130" i="20"/>
  <c r="BC116" i="20"/>
  <c r="BD134" i="20"/>
  <c r="BC189" i="20" s="1"/>
  <c r="BC141" i="20"/>
  <c r="BC119" i="20"/>
  <c r="BD125" i="20"/>
  <c r="BC180" i="20" s="1"/>
  <c r="BD131" i="20"/>
  <c r="BC186" i="20" s="1"/>
  <c r="BD136" i="20"/>
  <c r="BC191" i="20" s="1"/>
  <c r="BC112" i="20"/>
  <c r="BC125" i="20"/>
  <c r="BC118" i="20"/>
  <c r="BC123" i="20"/>
  <c r="BC109" i="20"/>
  <c r="BC114" i="20"/>
  <c r="BC121" i="20"/>
  <c r="BC124" i="20"/>
  <c r="BD123" i="20"/>
  <c r="BC178" i="20" s="1"/>
  <c r="BD119" i="20"/>
  <c r="BC174" i="20" s="1"/>
  <c r="BC142" i="20"/>
  <c r="BC106" i="20"/>
  <c r="BC120" i="20"/>
  <c r="BC136" i="20"/>
  <c r="BD141" i="20"/>
  <c r="BC196" i="20" s="1"/>
  <c r="BD116" i="20"/>
  <c r="BC171" i="20" s="1"/>
  <c r="BC139" i="20"/>
  <c r="BC135" i="20"/>
  <c r="BD120" i="20"/>
  <c r="BC175" i="20" s="1"/>
  <c r="BC126" i="20"/>
  <c r="BC128" i="20"/>
  <c r="BD139" i="20"/>
  <c r="BC194" i="20" s="1"/>
  <c r="BC133" i="20"/>
  <c r="BC198" i="20"/>
  <c r="BD129" i="20"/>
  <c r="BC184" i="20" s="1"/>
  <c r="BC110" i="20"/>
  <c r="BC122" i="20"/>
  <c r="BD133" i="20"/>
  <c r="BC188" i="20" s="1"/>
  <c r="BC132" i="20"/>
  <c r="BD138" i="20"/>
  <c r="BC193" i="20" s="1"/>
  <c r="BD126" i="20"/>
  <c r="BC181" i="20" s="1"/>
  <c r="BC111" i="20"/>
  <c r="N32" i="20"/>
  <c r="AC32" i="20" s="1"/>
  <c r="X118" i="20" s="1"/>
  <c r="BG113" i="20"/>
  <c r="BD140" i="20"/>
  <c r="BC195" i="20" s="1"/>
  <c r="BD142" i="20"/>
  <c r="BC197" i="20" s="1"/>
  <c r="BC199" i="20"/>
  <c r="BD121" i="20"/>
  <c r="BC176" i="20" s="1"/>
  <c r="BC137" i="20"/>
  <c r="BC138" i="20"/>
  <c r="BC115" i="20"/>
  <c r="BC107" i="20"/>
  <c r="AC144" i="20"/>
  <c r="BC117" i="20"/>
  <c r="BC140" i="20"/>
  <c r="BD132" i="20"/>
  <c r="BC187" i="20" s="1"/>
  <c r="BD137" i="20"/>
  <c r="BC192" i="20" s="1"/>
  <c r="BD112" i="20"/>
  <c r="BC167" i="20" s="1"/>
  <c r="BD124" i="20"/>
  <c r="BC179" i="20" s="1"/>
  <c r="BD122" i="20"/>
  <c r="BC177" i="20" s="1"/>
  <c r="BX117" i="20"/>
  <c r="CG117" i="20" s="1"/>
  <c r="BG117" i="20"/>
  <c r="BX121" i="20"/>
  <c r="CG121" i="20" s="1"/>
  <c r="Y117" i="20"/>
  <c r="AE117" i="20" s="1"/>
  <c r="AP117" i="20"/>
  <c r="AP121" i="20"/>
  <c r="AY121" i="20" s="1"/>
  <c r="Y121" i="20"/>
  <c r="AE121" i="20" s="1"/>
  <c r="BX123" i="20"/>
  <c r="CG123" i="20" s="1"/>
  <c r="BG115" i="20"/>
  <c r="BP115" i="20" s="1"/>
  <c r="Y115" i="20"/>
  <c r="AE115" i="20" s="1"/>
  <c r="Y113" i="20"/>
  <c r="AE113" i="20" s="1"/>
  <c r="BX113" i="20"/>
  <c r="CG113" i="20" s="1"/>
  <c r="BX109" i="20"/>
  <c r="CG109" i="20" s="1"/>
  <c r="AP109" i="20"/>
  <c r="AY109" i="20" s="1"/>
  <c r="BG109" i="20"/>
  <c r="O133" i="20"/>
  <c r="O144" i="20"/>
  <c r="O141" i="20"/>
  <c r="N30" i="20"/>
  <c r="AC30" i="20" s="1"/>
  <c r="N29" i="20"/>
  <c r="AC29" i="20" s="1"/>
  <c r="AO115" i="20" s="1"/>
  <c r="BD106" i="20"/>
  <c r="BC161" i="20" s="1"/>
  <c r="BD115" i="20"/>
  <c r="BC170" i="20" s="1"/>
  <c r="BD108" i="20"/>
  <c r="BC163" i="20" s="1"/>
  <c r="BC108" i="20"/>
  <c r="AP115" i="20"/>
  <c r="AY115" i="20" s="1"/>
  <c r="BC134" i="20"/>
  <c r="BD135" i="20"/>
  <c r="BC190" i="20" s="1"/>
  <c r="BD128" i="20"/>
  <c r="BC183" i="20" s="1"/>
  <c r="BD107" i="20"/>
  <c r="BC162" i="20" s="1"/>
  <c r="AP123" i="20"/>
  <c r="BC131" i="20"/>
  <c r="BC129" i="20"/>
  <c r="BD127" i="20"/>
  <c r="BC182" i="20" s="1"/>
  <c r="BD109" i="20"/>
  <c r="BC164" i="20" s="1"/>
  <c r="N38" i="20"/>
  <c r="AC38" i="20" s="1"/>
  <c r="BD118" i="20"/>
  <c r="BC173" i="20" s="1"/>
  <c r="BD114" i="20"/>
  <c r="BC169" i="20" s="1"/>
  <c r="N39" i="20"/>
  <c r="AC39" i="20" s="1"/>
  <c r="BD117" i="20"/>
  <c r="BC172" i="20" s="1"/>
  <c r="Y123" i="20"/>
  <c r="N25" i="20"/>
  <c r="AC25" i="20" s="1"/>
  <c r="AO111" i="20" s="1"/>
  <c r="BV117" i="20"/>
  <c r="BE117" i="20"/>
  <c r="AN117" i="20"/>
  <c r="W117" i="20"/>
  <c r="F117" i="20"/>
  <c r="BV119" i="20"/>
  <c r="AN119" i="20"/>
  <c r="W119" i="20"/>
  <c r="BE119" i="20"/>
  <c r="F119" i="20"/>
  <c r="AN115" i="20"/>
  <c r="BV115" i="20"/>
  <c r="BE115" i="20"/>
  <c r="W115" i="20"/>
  <c r="F115" i="20"/>
  <c r="N21" i="20"/>
  <c r="AC21" i="20" s="1"/>
  <c r="CE144" i="20"/>
  <c r="BE123" i="20"/>
  <c r="BV123" i="20"/>
  <c r="AN123" i="20"/>
  <c r="W123" i="20"/>
  <c r="F123" i="20"/>
  <c r="AW144" i="20"/>
  <c r="N37" i="20"/>
  <c r="AC37" i="20" s="1"/>
  <c r="BG111" i="20"/>
  <c r="AP111" i="20"/>
  <c r="BX111" i="20"/>
  <c r="Y111" i="20"/>
  <c r="BV113" i="20"/>
  <c r="BE113" i="20"/>
  <c r="AN113" i="20"/>
  <c r="W113" i="20"/>
  <c r="F113" i="20"/>
  <c r="BV108" i="20"/>
  <c r="BE108" i="20"/>
  <c r="AN108" i="20"/>
  <c r="W108" i="20"/>
  <c r="F108" i="20"/>
  <c r="BG108" i="20"/>
  <c r="BX108" i="20"/>
  <c r="Y108" i="20"/>
  <c r="AP108" i="20"/>
  <c r="O130" i="20"/>
  <c r="U107" i="20"/>
  <c r="U111" i="20"/>
  <c r="U115" i="20"/>
  <c r="U119" i="20"/>
  <c r="U123" i="20"/>
  <c r="U126" i="20"/>
  <c r="U130" i="20"/>
  <c r="U134" i="20"/>
  <c r="U138" i="20"/>
  <c r="U142" i="20"/>
  <c r="V107" i="20"/>
  <c r="U162" i="20" s="1"/>
  <c r="V111" i="20"/>
  <c r="U166" i="20" s="1"/>
  <c r="V115" i="20"/>
  <c r="U170" i="20" s="1"/>
  <c r="V119" i="20"/>
  <c r="U174" i="20" s="1"/>
  <c r="V123" i="20"/>
  <c r="U178" i="20" s="1"/>
  <c r="V126" i="20"/>
  <c r="U181" i="20" s="1"/>
  <c r="V130" i="20"/>
  <c r="U185" i="20" s="1"/>
  <c r="V134" i="20"/>
  <c r="U189" i="20" s="1"/>
  <c r="V138" i="20"/>
  <c r="U193" i="20" s="1"/>
  <c r="V142" i="20"/>
  <c r="U197" i="20" s="1"/>
  <c r="U108" i="20"/>
  <c r="U112" i="20"/>
  <c r="U116" i="20"/>
  <c r="U120" i="20"/>
  <c r="U124" i="20"/>
  <c r="U127" i="20"/>
  <c r="U131" i="20"/>
  <c r="U135" i="20"/>
  <c r="U139" i="20"/>
  <c r="V108" i="20"/>
  <c r="U163" i="20" s="1"/>
  <c r="V112" i="20"/>
  <c r="U167" i="20" s="1"/>
  <c r="V116" i="20"/>
  <c r="U171" i="20" s="1"/>
  <c r="V120" i="20"/>
  <c r="U175" i="20" s="1"/>
  <c r="V124" i="20"/>
  <c r="U179" i="20" s="1"/>
  <c r="V127" i="20"/>
  <c r="U182" i="20" s="1"/>
  <c r="V131" i="20"/>
  <c r="U186" i="20" s="1"/>
  <c r="V135" i="20"/>
  <c r="U190" i="20" s="1"/>
  <c r="V139" i="20"/>
  <c r="U194" i="20" s="1"/>
  <c r="U198" i="20"/>
  <c r="U109" i="20"/>
  <c r="U113" i="20"/>
  <c r="U117" i="20"/>
  <c r="U121" i="20"/>
  <c r="U125" i="20"/>
  <c r="U128" i="20"/>
  <c r="U132" i="20"/>
  <c r="U136" i="20"/>
  <c r="U140" i="20"/>
  <c r="V109" i="20"/>
  <c r="U164" i="20" s="1"/>
  <c r="V113" i="20"/>
  <c r="U168" i="20" s="1"/>
  <c r="V117" i="20"/>
  <c r="U172" i="20" s="1"/>
  <c r="V121" i="20"/>
  <c r="U176" i="20" s="1"/>
  <c r="V125" i="20"/>
  <c r="U180" i="20" s="1"/>
  <c r="V128" i="20"/>
  <c r="U183" i="20" s="1"/>
  <c r="V132" i="20"/>
  <c r="U187" i="20" s="1"/>
  <c r="V136" i="20"/>
  <c r="U191" i="20" s="1"/>
  <c r="V140" i="20"/>
  <c r="U195" i="20" s="1"/>
  <c r="U199" i="20"/>
  <c r="V110" i="20"/>
  <c r="U165" i="20" s="1"/>
  <c r="V141" i="20"/>
  <c r="U196" i="20" s="1"/>
  <c r="U114" i="20"/>
  <c r="U129" i="20"/>
  <c r="V106" i="20"/>
  <c r="U161" i="20" s="1"/>
  <c r="V114" i="20"/>
  <c r="U169" i="20" s="1"/>
  <c r="V129" i="20"/>
  <c r="U184" i="20" s="1"/>
  <c r="U106" i="20"/>
  <c r="U118" i="20"/>
  <c r="U133" i="20"/>
  <c r="V118" i="20"/>
  <c r="U173" i="20" s="1"/>
  <c r="V133" i="20"/>
  <c r="U188" i="20" s="1"/>
  <c r="U122" i="20"/>
  <c r="U137" i="20"/>
  <c r="V122" i="20"/>
  <c r="U177" i="20" s="1"/>
  <c r="V137" i="20"/>
  <c r="U192" i="20" s="1"/>
  <c r="U141" i="20"/>
  <c r="U110" i="20"/>
  <c r="BX119" i="20"/>
  <c r="BG119" i="20"/>
  <c r="Y119" i="20"/>
  <c r="AP119" i="20"/>
  <c r="BV124" i="20"/>
  <c r="BE124" i="20"/>
  <c r="W124" i="20"/>
  <c r="AN124" i="20"/>
  <c r="F124" i="20"/>
  <c r="BE107" i="20"/>
  <c r="BV107" i="20"/>
  <c r="AN107" i="20"/>
  <c r="W107" i="20"/>
  <c r="F107" i="20"/>
  <c r="BE109" i="20"/>
  <c r="BV109" i="20"/>
  <c r="AN109" i="20"/>
  <c r="W109" i="20"/>
  <c r="F109" i="20"/>
  <c r="BV111" i="20"/>
  <c r="BE111" i="20"/>
  <c r="AN111" i="20"/>
  <c r="W111" i="20"/>
  <c r="F111" i="20"/>
  <c r="BX116" i="20"/>
  <c r="BG116" i="20"/>
  <c r="AP116" i="20"/>
  <c r="Y116" i="20"/>
  <c r="AW136" i="20"/>
  <c r="BE110" i="20"/>
  <c r="BV110" i="20"/>
  <c r="AN110" i="20"/>
  <c r="F110" i="20"/>
  <c r="W110" i="20"/>
  <c r="N27" i="20"/>
  <c r="AC27" i="20" s="1"/>
  <c r="BG107" i="20"/>
  <c r="AP107" i="20"/>
  <c r="BX107" i="20"/>
  <c r="Y107" i="20"/>
  <c r="BU108" i="20"/>
  <c r="BT163" i="20" s="1"/>
  <c r="BT122" i="20"/>
  <c r="BT124" i="20"/>
  <c r="BU129" i="20"/>
  <c r="BT184" i="20" s="1"/>
  <c r="BU131" i="20"/>
  <c r="BT186" i="20" s="1"/>
  <c r="BT140" i="20"/>
  <c r="BT109" i="20"/>
  <c r="BT116" i="20"/>
  <c r="BU122" i="20"/>
  <c r="BT177" i="20" s="1"/>
  <c r="BU124" i="20"/>
  <c r="BT179" i="20" s="1"/>
  <c r="BT132" i="20"/>
  <c r="BU140" i="20"/>
  <c r="BT195" i="20" s="1"/>
  <c r="BT141" i="20"/>
  <c r="BU109" i="20"/>
  <c r="BT164" i="20" s="1"/>
  <c r="BT110" i="20"/>
  <c r="BT112" i="20"/>
  <c r="BU116" i="20"/>
  <c r="BT171" i="20" s="1"/>
  <c r="BT125" i="20"/>
  <c r="BU132" i="20"/>
  <c r="BT187" i="20" s="1"/>
  <c r="BT133" i="20"/>
  <c r="BT135" i="20"/>
  <c r="BU141" i="20"/>
  <c r="BT196" i="20" s="1"/>
  <c r="BT142" i="20"/>
  <c r="BT198" i="20"/>
  <c r="BT107" i="20"/>
  <c r="BU110" i="20"/>
  <c r="BT165" i="20" s="1"/>
  <c r="BT111" i="20"/>
  <c r="BU112" i="20"/>
  <c r="BT167" i="20" s="1"/>
  <c r="BT113" i="20"/>
  <c r="BT117" i="20"/>
  <c r="BU125" i="20"/>
  <c r="BT180" i="20" s="1"/>
  <c r="BT127" i="20"/>
  <c r="BU133" i="20"/>
  <c r="BT188" i="20" s="1"/>
  <c r="BT134" i="20"/>
  <c r="BU135" i="20"/>
  <c r="BT190" i="20" s="1"/>
  <c r="BT136" i="20"/>
  <c r="BT138" i="20"/>
  <c r="BU142" i="20"/>
  <c r="BT197" i="20" s="1"/>
  <c r="BT199" i="20"/>
  <c r="BU107" i="20"/>
  <c r="BT162" i="20" s="1"/>
  <c r="BU111" i="20"/>
  <c r="BT166" i="20" s="1"/>
  <c r="BU113" i="20"/>
  <c r="BT168" i="20" s="1"/>
  <c r="BU117" i="20"/>
  <c r="BT172" i="20" s="1"/>
  <c r="BT118" i="20"/>
  <c r="BT120" i="20"/>
  <c r="BT126" i="20"/>
  <c r="BU127" i="20"/>
  <c r="BT182" i="20" s="1"/>
  <c r="BT128" i="20"/>
  <c r="BT130" i="20"/>
  <c r="BU134" i="20"/>
  <c r="BT189" i="20" s="1"/>
  <c r="BU136" i="20"/>
  <c r="BT191" i="20" s="1"/>
  <c r="BU138" i="20"/>
  <c r="BT193" i="20" s="1"/>
  <c r="BU106" i="20"/>
  <c r="BT161" i="20" s="1"/>
  <c r="BT115" i="20"/>
  <c r="BU118" i="20"/>
  <c r="BT173" i="20" s="1"/>
  <c r="BT119" i="20"/>
  <c r="BU120" i="20"/>
  <c r="BT175" i="20" s="1"/>
  <c r="BT121" i="20"/>
  <c r="BT123" i="20"/>
  <c r="BU126" i="20"/>
  <c r="BT181" i="20" s="1"/>
  <c r="BU128" i="20"/>
  <c r="BT183" i="20" s="1"/>
  <c r="BU130" i="20"/>
  <c r="BT185" i="20" s="1"/>
  <c r="BT106" i="20"/>
  <c r="BU115" i="20"/>
  <c r="BT170" i="20" s="1"/>
  <c r="BT129" i="20"/>
  <c r="BT139" i="20"/>
  <c r="BU119" i="20"/>
  <c r="BT174" i="20" s="1"/>
  <c r="BU139" i="20"/>
  <c r="BT194" i="20" s="1"/>
  <c r="BT137" i="20"/>
  <c r="BT114" i="20"/>
  <c r="BU123" i="20"/>
  <c r="BT178" i="20" s="1"/>
  <c r="BU137" i="20"/>
  <c r="BT192" i="20" s="1"/>
  <c r="BU114" i="20"/>
  <c r="BT169" i="20" s="1"/>
  <c r="BU121" i="20"/>
  <c r="BT176" i="20" s="1"/>
  <c r="BT131" i="20"/>
  <c r="BT108" i="20"/>
  <c r="BX124" i="20"/>
  <c r="BG124" i="20"/>
  <c r="Y124" i="20"/>
  <c r="AP124" i="20"/>
  <c r="AF144" i="20"/>
  <c r="BV114" i="20"/>
  <c r="BE114" i="20"/>
  <c r="W114" i="20"/>
  <c r="AN114" i="20"/>
  <c r="F114" i="20"/>
  <c r="BV122" i="20"/>
  <c r="BE122" i="20"/>
  <c r="AN122" i="20"/>
  <c r="W122" i="20"/>
  <c r="F122" i="20"/>
  <c r="BX112" i="20"/>
  <c r="BG112" i="20"/>
  <c r="AP112" i="20"/>
  <c r="Y112" i="20"/>
  <c r="D106" i="20"/>
  <c r="E129" i="20"/>
  <c r="D184" i="20" s="1"/>
  <c r="E133" i="20"/>
  <c r="D188" i="20" s="1"/>
  <c r="E137" i="20"/>
  <c r="D192" i="20" s="1"/>
  <c r="E141" i="20"/>
  <c r="D196" i="20" s="1"/>
  <c r="D126" i="20"/>
  <c r="D130" i="20"/>
  <c r="D134" i="20"/>
  <c r="D138" i="20"/>
  <c r="E126" i="20"/>
  <c r="D181" i="20" s="1"/>
  <c r="E130" i="20"/>
  <c r="D185" i="20" s="1"/>
  <c r="E134" i="20"/>
  <c r="D189" i="20" s="1"/>
  <c r="E138" i="20"/>
  <c r="D193" i="20" s="1"/>
  <c r="E142" i="20"/>
  <c r="D197" i="20" s="1"/>
  <c r="E128" i="20"/>
  <c r="D183" i="20" s="1"/>
  <c r="E132" i="20"/>
  <c r="D187" i="20" s="1"/>
  <c r="E136" i="20"/>
  <c r="D191" i="20" s="1"/>
  <c r="D127" i="20"/>
  <c r="D135" i="20"/>
  <c r="D141" i="20"/>
  <c r="D108" i="20"/>
  <c r="K108" i="20" s="1"/>
  <c r="D112" i="20"/>
  <c r="K112" i="20" s="1"/>
  <c r="D116" i="20"/>
  <c r="K116" i="20" s="1"/>
  <c r="D120" i="20"/>
  <c r="K120" i="20" s="1"/>
  <c r="D124" i="20"/>
  <c r="K124" i="20" s="1"/>
  <c r="E127" i="20"/>
  <c r="D182" i="20" s="1"/>
  <c r="E135" i="20"/>
  <c r="D190" i="20" s="1"/>
  <c r="D142" i="20"/>
  <c r="E108" i="20"/>
  <c r="D163" i="20" s="1"/>
  <c r="E112" i="20"/>
  <c r="D167" i="20" s="1"/>
  <c r="E116" i="20"/>
  <c r="D171" i="20" s="1"/>
  <c r="E120" i="20"/>
  <c r="D175" i="20" s="1"/>
  <c r="E124" i="20"/>
  <c r="D179" i="20" s="1"/>
  <c r="D128" i="20"/>
  <c r="D136" i="20"/>
  <c r="D109" i="20"/>
  <c r="D113" i="20"/>
  <c r="D117" i="20"/>
  <c r="D121" i="20"/>
  <c r="D125" i="20"/>
  <c r="K125" i="20" s="1"/>
  <c r="D129" i="20"/>
  <c r="D137" i="20"/>
  <c r="D198" i="20"/>
  <c r="E109" i="20"/>
  <c r="D164" i="20" s="1"/>
  <c r="E113" i="20"/>
  <c r="D168" i="20" s="1"/>
  <c r="E117" i="20"/>
  <c r="D172" i="20" s="1"/>
  <c r="E121" i="20"/>
  <c r="D176" i="20" s="1"/>
  <c r="E125" i="20"/>
  <c r="D180" i="20" s="1"/>
  <c r="E107" i="20"/>
  <c r="D162" i="20" s="1"/>
  <c r="E119" i="20"/>
  <c r="D174" i="20" s="1"/>
  <c r="D131" i="20"/>
  <c r="D139" i="20"/>
  <c r="D110" i="20"/>
  <c r="K110" i="20" s="1"/>
  <c r="D114" i="20"/>
  <c r="K114" i="20" s="1"/>
  <c r="D118" i="20"/>
  <c r="K118" i="20" s="1"/>
  <c r="D122" i="20"/>
  <c r="K122" i="20" s="1"/>
  <c r="E106" i="20"/>
  <c r="D161" i="20" s="1"/>
  <c r="E140" i="20"/>
  <c r="D195" i="20" s="1"/>
  <c r="E115" i="20"/>
  <c r="D170" i="20" s="1"/>
  <c r="E131" i="20"/>
  <c r="D186" i="20" s="1"/>
  <c r="E139" i="20"/>
  <c r="D194" i="20" s="1"/>
  <c r="D199" i="20"/>
  <c r="E110" i="20"/>
  <c r="D165" i="20" s="1"/>
  <c r="E114" i="20"/>
  <c r="D169" i="20" s="1"/>
  <c r="E118" i="20"/>
  <c r="D173" i="20" s="1"/>
  <c r="E122" i="20"/>
  <c r="D177" i="20" s="1"/>
  <c r="D133" i="20"/>
  <c r="E111" i="20"/>
  <c r="D166" i="20" s="1"/>
  <c r="E123" i="20"/>
  <c r="D178" i="20" s="1"/>
  <c r="D132" i="20"/>
  <c r="D140" i="20"/>
  <c r="D107" i="20"/>
  <c r="K107" i="20" s="1"/>
  <c r="D111" i="20"/>
  <c r="K111" i="20" s="1"/>
  <c r="D115" i="20"/>
  <c r="D119" i="20"/>
  <c r="K119" i="20" s="1"/>
  <c r="D123" i="20"/>
  <c r="BG110" i="20"/>
  <c r="BX110" i="20"/>
  <c r="Y110" i="20"/>
  <c r="AP110" i="20"/>
  <c r="N22" i="20"/>
  <c r="AC22" i="20" s="1"/>
  <c r="N23" i="20"/>
  <c r="AC23" i="20" s="1"/>
  <c r="BE121" i="20"/>
  <c r="AN121" i="20"/>
  <c r="BV121" i="20"/>
  <c r="W121" i="20"/>
  <c r="F121" i="20"/>
  <c r="BX120" i="20"/>
  <c r="BG120" i="20"/>
  <c r="AP120" i="20"/>
  <c r="Y120" i="20"/>
  <c r="BV125" i="20"/>
  <c r="BE125" i="20"/>
  <c r="AN125" i="20"/>
  <c r="W125" i="20"/>
  <c r="F125" i="20"/>
  <c r="BV116" i="20"/>
  <c r="W116" i="20"/>
  <c r="BE116" i="20"/>
  <c r="F116" i="20"/>
  <c r="AN116" i="20"/>
  <c r="BX118" i="20"/>
  <c r="BG118" i="20"/>
  <c r="Y118" i="20"/>
  <c r="AP118" i="20"/>
  <c r="BV112" i="20"/>
  <c r="BE112" i="20"/>
  <c r="AN112" i="20"/>
  <c r="W112" i="20"/>
  <c r="F112" i="20"/>
  <c r="BX106" i="20"/>
  <c r="BG106" i="20"/>
  <c r="Y106" i="20"/>
  <c r="H106" i="20"/>
  <c r="AP106" i="20"/>
  <c r="BX122" i="20"/>
  <c r="BG122" i="20"/>
  <c r="AP122" i="20"/>
  <c r="Y122" i="20"/>
  <c r="BV118" i="20"/>
  <c r="BE118" i="20"/>
  <c r="AN118" i="20"/>
  <c r="W118" i="20"/>
  <c r="F118" i="20"/>
  <c r="BV120" i="20"/>
  <c r="AN120" i="20"/>
  <c r="BE120" i="20"/>
  <c r="W120" i="20"/>
  <c r="F120" i="20"/>
  <c r="BX114" i="20"/>
  <c r="BG114" i="20"/>
  <c r="Y114" i="20"/>
  <c r="AP114" i="20"/>
  <c r="BX125" i="20"/>
  <c r="AP125" i="20"/>
  <c r="Y125" i="20"/>
  <c r="BG125" i="20"/>
  <c r="N26" i="20"/>
  <c r="AC26" i="20" s="1"/>
  <c r="N33" i="20"/>
  <c r="AC33" i="20" s="1"/>
  <c r="N35" i="20"/>
  <c r="AC35" i="20" s="1"/>
  <c r="N34" i="20"/>
  <c r="AC34" i="20" s="1"/>
  <c r="N20" i="20"/>
  <c r="AC20" i="20" s="1"/>
  <c r="AB20" i="20"/>
  <c r="N28" i="20"/>
  <c r="AC28" i="20" s="1"/>
  <c r="N24" i="20"/>
  <c r="AC24" i="20" s="1"/>
  <c r="N36" i="20"/>
  <c r="AC36" i="20" s="1"/>
  <c r="N31" i="20"/>
  <c r="AC31" i="20" s="1"/>
  <c r="AB107" i="20" l="1"/>
  <c r="K106" i="20"/>
  <c r="AB106" i="20"/>
  <c r="AT136" i="20"/>
  <c r="AS144" i="20"/>
  <c r="AQ144" i="20"/>
  <c r="AR144" i="20"/>
  <c r="AR145" i="20"/>
  <c r="AQ145" i="20"/>
  <c r="AS145" i="20"/>
  <c r="AQ113" i="20"/>
  <c r="AS135" i="20"/>
  <c r="AS111" i="20"/>
  <c r="AR138" i="20"/>
  <c r="AS119" i="20"/>
  <c r="AS143" i="20"/>
  <c r="AS137" i="20"/>
  <c r="AQ119" i="20"/>
  <c r="AQ143" i="20"/>
  <c r="AQ137" i="20"/>
  <c r="AR143" i="20"/>
  <c r="AL107" i="20"/>
  <c r="AS107" i="20" s="1"/>
  <c r="AL108" i="20"/>
  <c r="AS108" i="20" s="1"/>
  <c r="AL109" i="20"/>
  <c r="AQ109" i="20" s="1"/>
  <c r="AL110" i="20"/>
  <c r="AS110" i="20" s="1"/>
  <c r="AL111" i="20"/>
  <c r="AR111" i="20" s="1"/>
  <c r="AL112" i="20"/>
  <c r="AS112" i="20" s="1"/>
  <c r="AL113" i="20"/>
  <c r="AS113" i="20" s="1"/>
  <c r="AL114" i="20"/>
  <c r="AQ114" i="20" s="1"/>
  <c r="AL115" i="20"/>
  <c r="AR115" i="20" s="1"/>
  <c r="AL116" i="20"/>
  <c r="AS116" i="20" s="1"/>
  <c r="AL117" i="20"/>
  <c r="AS117" i="20" s="1"/>
  <c r="AL118" i="20"/>
  <c r="AS118" i="20" s="1"/>
  <c r="AL119" i="20"/>
  <c r="AL120" i="20"/>
  <c r="AL121" i="20"/>
  <c r="AS121" i="20" s="1"/>
  <c r="AL122" i="20"/>
  <c r="AQ122" i="20" s="1"/>
  <c r="AL123" i="20"/>
  <c r="AQ123" i="20" s="1"/>
  <c r="AL124" i="20"/>
  <c r="AQ124" i="20" s="1"/>
  <c r="AL125" i="20"/>
  <c r="AS125" i="20" s="1"/>
  <c r="AL126" i="20"/>
  <c r="AR126" i="20" s="1"/>
  <c r="AL127" i="20"/>
  <c r="AR127" i="20" s="1"/>
  <c r="AL128" i="20"/>
  <c r="AR128" i="20" s="1"/>
  <c r="AL129" i="20"/>
  <c r="AQ129" i="20" s="1"/>
  <c r="AL130" i="20"/>
  <c r="AS130" i="20" s="1"/>
  <c r="AL131" i="20"/>
  <c r="AS131" i="20" s="1"/>
  <c r="AL132" i="20"/>
  <c r="AS132" i="20" s="1"/>
  <c r="AL133" i="20"/>
  <c r="AS133" i="20" s="1"/>
  <c r="AL134" i="20"/>
  <c r="AQ134" i="20" s="1"/>
  <c r="AL135" i="20"/>
  <c r="AR135" i="20" s="1"/>
  <c r="AL136" i="20"/>
  <c r="AR136" i="20" s="1"/>
  <c r="AL137" i="20"/>
  <c r="AR137" i="20" s="1"/>
  <c r="AL138" i="20"/>
  <c r="AS138" i="20" s="1"/>
  <c r="AL139" i="20"/>
  <c r="AS139" i="20" s="1"/>
  <c r="AL140" i="20"/>
  <c r="AS140" i="20" s="1"/>
  <c r="AL141" i="20"/>
  <c r="AQ141" i="20" s="1"/>
  <c r="AL142" i="20"/>
  <c r="AR142" i="20" s="1"/>
  <c r="AL106" i="20"/>
  <c r="AS106" i="20" s="1"/>
  <c r="AM107" i="20"/>
  <c r="AL162" i="20" s="1"/>
  <c r="AM108" i="20"/>
  <c r="AL163" i="20" s="1"/>
  <c r="AM109" i="20"/>
  <c r="AL164" i="20" s="1"/>
  <c r="AM110" i="20"/>
  <c r="AL165" i="20" s="1"/>
  <c r="AM111" i="20"/>
  <c r="AM112" i="20"/>
  <c r="AM113" i="20"/>
  <c r="AM114" i="20"/>
  <c r="AL169" i="20" s="1"/>
  <c r="AM115" i="20"/>
  <c r="AL170" i="20" s="1"/>
  <c r="AM116" i="20"/>
  <c r="AL171" i="20" s="1"/>
  <c r="AM117" i="20"/>
  <c r="AL172" i="20" s="1"/>
  <c r="AM118" i="20"/>
  <c r="AL173" i="20" s="1"/>
  <c r="AM119" i="20"/>
  <c r="AL174" i="20" s="1"/>
  <c r="AM120" i="20"/>
  <c r="AL175" i="20" s="1"/>
  <c r="AM121" i="20"/>
  <c r="AL176" i="20" s="1"/>
  <c r="AM122" i="20"/>
  <c r="AL177" i="20" s="1"/>
  <c r="AM123" i="20"/>
  <c r="AL178" i="20" s="1"/>
  <c r="AM124" i="20"/>
  <c r="AM125" i="20"/>
  <c r="AM126" i="20"/>
  <c r="AM127" i="20"/>
  <c r="AM128" i="20"/>
  <c r="AM129" i="20"/>
  <c r="AL184" i="20" s="1"/>
  <c r="AM130" i="20"/>
  <c r="AM131" i="20"/>
  <c r="AM132" i="20"/>
  <c r="AL187" i="20" s="1"/>
  <c r="AM133" i="20"/>
  <c r="AL188" i="20" s="1"/>
  <c r="AM134" i="20"/>
  <c r="AL189" i="20" s="1"/>
  <c r="AM135" i="20"/>
  <c r="AM136" i="20"/>
  <c r="AL191" i="20" s="1"/>
  <c r="AM137" i="20"/>
  <c r="AM138" i="20"/>
  <c r="AM139" i="20"/>
  <c r="AL194" i="20" s="1"/>
  <c r="AM140" i="20"/>
  <c r="AM141" i="20"/>
  <c r="AL196" i="20" s="1"/>
  <c r="AM142" i="20"/>
  <c r="AL197" i="20" s="1"/>
  <c r="AM106" i="20"/>
  <c r="AL161" i="20" s="1"/>
  <c r="BT37" i="27"/>
  <c r="X7" i="24" s="1"/>
  <c r="AU37" i="27"/>
  <c r="I7" i="24" s="1"/>
  <c r="BO37" i="27"/>
  <c r="U7" i="24" s="1"/>
  <c r="BE37" i="27"/>
  <c r="O7" i="24" s="1"/>
  <c r="AI126" i="20"/>
  <c r="E91" i="20"/>
  <c r="BH107" i="20" s="1"/>
  <c r="AV117" i="20"/>
  <c r="AV145" i="20"/>
  <c r="AT145" i="20"/>
  <c r="AU145" i="20"/>
  <c r="O128" i="20"/>
  <c r="L7" i="24"/>
  <c r="AK37" i="27"/>
  <c r="C7" i="24" s="1"/>
  <c r="O136" i="20"/>
  <c r="AF136" i="20"/>
  <c r="AC128" i="20"/>
  <c r="AT128" i="20"/>
  <c r="AC130" i="20"/>
  <c r="K109" i="20"/>
  <c r="AE127" i="20"/>
  <c r="AA127" i="20"/>
  <c r="AB126" i="20"/>
  <c r="AT127" i="20"/>
  <c r="AD126" i="20"/>
  <c r="AF133" i="20"/>
  <c r="AE126" i="20"/>
  <c r="AD127" i="20"/>
  <c r="M127" i="20"/>
  <c r="AZ127" i="20"/>
  <c r="AI127" i="20"/>
  <c r="BT200" i="20"/>
  <c r="BC200" i="20"/>
  <c r="AB145" i="20"/>
  <c r="Z145" i="20"/>
  <c r="AA145" i="20"/>
  <c r="D200" i="20"/>
  <c r="U200" i="20"/>
  <c r="K145" i="20"/>
  <c r="I145" i="20"/>
  <c r="J145" i="20"/>
  <c r="F7" i="24"/>
  <c r="AT130" i="20"/>
  <c r="AT141" i="20"/>
  <c r="BP144" i="20"/>
  <c r="BQ144" i="20" s="1"/>
  <c r="AZ126" i="20"/>
  <c r="AU126" i="20"/>
  <c r="M126" i="20"/>
  <c r="AC141" i="20"/>
  <c r="AT133" i="20"/>
  <c r="Q127" i="20"/>
  <c r="AC127" i="20"/>
  <c r="Q126" i="20"/>
  <c r="R126" i="20" s="1"/>
  <c r="L127" i="20"/>
  <c r="O127" i="20"/>
  <c r="AE134" i="20"/>
  <c r="AB134" i="20"/>
  <c r="AH109" i="20"/>
  <c r="AV136" i="20"/>
  <c r="AB141" i="20"/>
  <c r="K115" i="20"/>
  <c r="K113" i="20"/>
  <c r="AA142" i="20"/>
  <c r="K121" i="20"/>
  <c r="K123" i="20"/>
  <c r="AB136" i="20"/>
  <c r="AA130" i="20"/>
  <c r="N121" i="20"/>
  <c r="K117" i="20"/>
  <c r="AB138" i="20"/>
  <c r="AV113" i="20"/>
  <c r="AB117" i="20"/>
  <c r="AB116" i="20"/>
  <c r="AB115" i="20"/>
  <c r="Q117" i="20"/>
  <c r="N117" i="20"/>
  <c r="AB113" i="20"/>
  <c r="AB120" i="20"/>
  <c r="AA128" i="20"/>
  <c r="AA143" i="20"/>
  <c r="AB112" i="20"/>
  <c r="AT144" i="20"/>
  <c r="AT126" i="20"/>
  <c r="AV123" i="20"/>
  <c r="AB114" i="20"/>
  <c r="AU127" i="20"/>
  <c r="AL186" i="20"/>
  <c r="AL180" i="20"/>
  <c r="AL183" i="20"/>
  <c r="AL168" i="20"/>
  <c r="AL193" i="20"/>
  <c r="AL195" i="20"/>
  <c r="AL179" i="20"/>
  <c r="AL185" i="20"/>
  <c r="AL181" i="20"/>
  <c r="AL167" i="20"/>
  <c r="AL190" i="20"/>
  <c r="AL192" i="20"/>
  <c r="AL182" i="20"/>
  <c r="AL198" i="20"/>
  <c r="AL166" i="20"/>
  <c r="AL199" i="20"/>
  <c r="AA133" i="20"/>
  <c r="AB123" i="20"/>
  <c r="AB129" i="20"/>
  <c r="AA140" i="20"/>
  <c r="AB124" i="20"/>
  <c r="AB125" i="20"/>
  <c r="AA135" i="20"/>
  <c r="AB132" i="20"/>
  <c r="AA139" i="20"/>
  <c r="AB137" i="20"/>
  <c r="AB131" i="20"/>
  <c r="AB122" i="20"/>
  <c r="AA144" i="20"/>
  <c r="AA131" i="20"/>
  <c r="AA126" i="20"/>
  <c r="AB133" i="20"/>
  <c r="AA138" i="20"/>
  <c r="AB128" i="20"/>
  <c r="AB143" i="20"/>
  <c r="AA129" i="20"/>
  <c r="AB110" i="20"/>
  <c r="AB140" i="20"/>
  <c r="AB127" i="20"/>
  <c r="AB135" i="20"/>
  <c r="J139" i="20"/>
  <c r="K139" i="20"/>
  <c r="J141" i="20"/>
  <c r="K141" i="20"/>
  <c r="J130" i="20"/>
  <c r="K130" i="20"/>
  <c r="AB119" i="20"/>
  <c r="AB144" i="20"/>
  <c r="J133" i="20"/>
  <c r="K133" i="20"/>
  <c r="J144" i="20"/>
  <c r="K144" i="20"/>
  <c r="K126" i="20"/>
  <c r="J126" i="20"/>
  <c r="AA141" i="20"/>
  <c r="AA118" i="20"/>
  <c r="AB121" i="20"/>
  <c r="AB111" i="20"/>
  <c r="AB109" i="20"/>
  <c r="AB118" i="20"/>
  <c r="K136" i="20"/>
  <c r="J136" i="20"/>
  <c r="K135" i="20"/>
  <c r="J135" i="20"/>
  <c r="J140" i="20"/>
  <c r="K140" i="20"/>
  <c r="J129" i="20"/>
  <c r="K129" i="20"/>
  <c r="J128" i="20"/>
  <c r="K128" i="20"/>
  <c r="K127" i="20"/>
  <c r="J127" i="20"/>
  <c r="AB142" i="20"/>
  <c r="K143" i="20"/>
  <c r="J143" i="20"/>
  <c r="AB108" i="20"/>
  <c r="AA132" i="20"/>
  <c r="AV127" i="20"/>
  <c r="AA134" i="20"/>
  <c r="AB130" i="20"/>
  <c r="K131" i="20"/>
  <c r="J131" i="20"/>
  <c r="J142" i="20"/>
  <c r="K142" i="20"/>
  <c r="J137" i="20"/>
  <c r="K137" i="20"/>
  <c r="AA137" i="20"/>
  <c r="AB139" i="20"/>
  <c r="J132" i="20"/>
  <c r="K132" i="20"/>
  <c r="J138" i="20"/>
  <c r="K138" i="20"/>
  <c r="K134" i="20"/>
  <c r="J134" i="20"/>
  <c r="AA136" i="20"/>
  <c r="AV126" i="20"/>
  <c r="Q136" i="20"/>
  <c r="Q135" i="20"/>
  <c r="AY123" i="20"/>
  <c r="AH144" i="20"/>
  <c r="BP113" i="20"/>
  <c r="AH117" i="20"/>
  <c r="AV135" i="20"/>
  <c r="Q142" i="20"/>
  <c r="AH143" i="20"/>
  <c r="Q143" i="20"/>
  <c r="AV143" i="20"/>
  <c r="AV138" i="20"/>
  <c r="AH136" i="20"/>
  <c r="AV144" i="20"/>
  <c r="Q144" i="20"/>
  <c r="Q138" i="20"/>
  <c r="AH135" i="20"/>
  <c r="AY117" i="20"/>
  <c r="BP117" i="20"/>
  <c r="Q113" i="20"/>
  <c r="AH113" i="20"/>
  <c r="AH138" i="20"/>
  <c r="AH142" i="20"/>
  <c r="AV109" i="20"/>
  <c r="BM109" i="20"/>
  <c r="AH121" i="20"/>
  <c r="AH115" i="20"/>
  <c r="AV121" i="20"/>
  <c r="Q121" i="20"/>
  <c r="N115" i="20"/>
  <c r="Q115" i="20"/>
  <c r="BP109" i="20"/>
  <c r="N109" i="20"/>
  <c r="Q109" i="20"/>
  <c r="BW115" i="20"/>
  <c r="CF115" i="20" s="1"/>
  <c r="X115" i="20"/>
  <c r="AA115" i="20" s="1"/>
  <c r="G115" i="20"/>
  <c r="J115" i="20" s="1"/>
  <c r="BF115" i="20"/>
  <c r="G118" i="20"/>
  <c r="M118" i="20" s="1"/>
  <c r="AO118" i="20"/>
  <c r="AU118" i="20" s="1"/>
  <c r="BF118" i="20"/>
  <c r="BW118" i="20"/>
  <c r="CF118" i="20" s="1"/>
  <c r="X111" i="20"/>
  <c r="AA111" i="20" s="1"/>
  <c r="BF111" i="20"/>
  <c r="AV142" i="20"/>
  <c r="AV115" i="20"/>
  <c r="AE123" i="20"/>
  <c r="AH123" i="20"/>
  <c r="BW111" i="20"/>
  <c r="CF111" i="20" s="1"/>
  <c r="N134" i="20"/>
  <c r="Q134" i="20"/>
  <c r="AY134" i="20"/>
  <c r="AV134" i="20"/>
  <c r="BP134" i="20"/>
  <c r="G111" i="20"/>
  <c r="J111" i="20" s="1"/>
  <c r="N123" i="20"/>
  <c r="Q123" i="20"/>
  <c r="BW122" i="20"/>
  <c r="CF122" i="20" s="1"/>
  <c r="BF122" i="20"/>
  <c r="AO122" i="20"/>
  <c r="X122" i="20"/>
  <c r="AA122" i="20" s="1"/>
  <c r="G122" i="20"/>
  <c r="J122" i="20" s="1"/>
  <c r="BF110" i="20"/>
  <c r="BW110" i="20"/>
  <c r="CF110" i="20" s="1"/>
  <c r="AO110" i="20"/>
  <c r="AR110" i="20" s="1"/>
  <c r="G110" i="20"/>
  <c r="J110" i="20" s="1"/>
  <c r="X110" i="20"/>
  <c r="AA110" i="20" s="1"/>
  <c r="AE108" i="20"/>
  <c r="AH108" i="20"/>
  <c r="CE108" i="20"/>
  <c r="AE139" i="20"/>
  <c r="AH139" i="20"/>
  <c r="AV128" i="20"/>
  <c r="AY128" i="20"/>
  <c r="N133" i="20"/>
  <c r="Q133" i="20"/>
  <c r="CG132" i="20"/>
  <c r="AF140" i="20"/>
  <c r="AC140" i="20"/>
  <c r="AX142" i="20"/>
  <c r="AU142" i="20"/>
  <c r="AW129" i="20"/>
  <c r="AT129" i="20"/>
  <c r="N140" i="20"/>
  <c r="Q140" i="20"/>
  <c r="BL135" i="20"/>
  <c r="BO135" i="20"/>
  <c r="AU143" i="20"/>
  <c r="AX143" i="20"/>
  <c r="BW114" i="20"/>
  <c r="CF114" i="20" s="1"/>
  <c r="BF114" i="20"/>
  <c r="X114" i="20"/>
  <c r="AA114" i="20" s="1"/>
  <c r="AO114" i="20"/>
  <c r="AR114" i="20" s="1"/>
  <c r="G114" i="20"/>
  <c r="J114" i="20" s="1"/>
  <c r="CG108" i="20"/>
  <c r="L113" i="20"/>
  <c r="O113" i="20"/>
  <c r="BP139" i="20"/>
  <c r="AE128" i="20"/>
  <c r="AH128" i="20"/>
  <c r="E92" i="20"/>
  <c r="BY107" i="20" s="1"/>
  <c r="BM126" i="20"/>
  <c r="BM143" i="20"/>
  <c r="BK133" i="20"/>
  <c r="BK127" i="20"/>
  <c r="BM121" i="20"/>
  <c r="BM134" i="20"/>
  <c r="BM127" i="20"/>
  <c r="BL126" i="20"/>
  <c r="BM135" i="20"/>
  <c r="BK126" i="20"/>
  <c r="BM113" i="20"/>
  <c r="BQ127" i="20"/>
  <c r="BK144" i="20"/>
  <c r="BK141" i="20"/>
  <c r="BQ126" i="20"/>
  <c r="BM117" i="20"/>
  <c r="BM115" i="20"/>
  <c r="BM138" i="20"/>
  <c r="BK136" i="20"/>
  <c r="BF117" i="20"/>
  <c r="BW117" i="20"/>
  <c r="CF117" i="20" s="1"/>
  <c r="AO117" i="20"/>
  <c r="X117" i="20"/>
  <c r="AA117" i="20" s="1"/>
  <c r="G117" i="20"/>
  <c r="J117" i="20" s="1"/>
  <c r="AV114" i="20"/>
  <c r="AY114" i="20"/>
  <c r="CE120" i="20"/>
  <c r="AX134" i="20"/>
  <c r="AU134" i="20"/>
  <c r="AC118" i="20"/>
  <c r="AF118" i="20"/>
  <c r="CG122" i="20"/>
  <c r="AE124" i="20"/>
  <c r="AH124" i="20"/>
  <c r="BF113" i="20"/>
  <c r="BW113" i="20"/>
  <c r="CF113" i="20" s="1"/>
  <c r="AO113" i="20"/>
  <c r="AR113" i="20" s="1"/>
  <c r="X113" i="20"/>
  <c r="AA113" i="20" s="1"/>
  <c r="G113" i="20"/>
  <c r="J113" i="20" s="1"/>
  <c r="AD139" i="20"/>
  <c r="AG139" i="20"/>
  <c r="AE114" i="20"/>
  <c r="AH114" i="20"/>
  <c r="L138" i="20"/>
  <c r="O138" i="20"/>
  <c r="AD134" i="20"/>
  <c r="AG134" i="20"/>
  <c r="AW118" i="20"/>
  <c r="AT118" i="20"/>
  <c r="BM124" i="20"/>
  <c r="BP124" i="20"/>
  <c r="AC110" i="20"/>
  <c r="AF110" i="20"/>
  <c r="BL139" i="20"/>
  <c r="BO139" i="20"/>
  <c r="Z125" i="20"/>
  <c r="Z139" i="20"/>
  <c r="Z108" i="20"/>
  <c r="Z123" i="20"/>
  <c r="Z121" i="20"/>
  <c r="Z135" i="20"/>
  <c r="Z119" i="20"/>
  <c r="BN119" i="20"/>
  <c r="BK119" i="20"/>
  <c r="CE117" i="20"/>
  <c r="AF137" i="20"/>
  <c r="AC137" i="20"/>
  <c r="BW125" i="20"/>
  <c r="CF125" i="20" s="1"/>
  <c r="BF125" i="20"/>
  <c r="AO125" i="20"/>
  <c r="X125" i="20"/>
  <c r="AA125" i="20" s="1"/>
  <c r="G125" i="20"/>
  <c r="J125" i="20" s="1"/>
  <c r="AV106" i="20"/>
  <c r="AY106" i="20"/>
  <c r="BN112" i="20"/>
  <c r="L116" i="20"/>
  <c r="O116" i="20"/>
  <c r="CE125" i="20"/>
  <c r="CE121" i="20"/>
  <c r="AD138" i="20"/>
  <c r="AG138" i="20"/>
  <c r="AC134" i="20"/>
  <c r="AF134" i="20"/>
  <c r="N110" i="20"/>
  <c r="Q110" i="20"/>
  <c r="I114" i="20"/>
  <c r="I121" i="20"/>
  <c r="I120" i="20"/>
  <c r="I134" i="20"/>
  <c r="AY112" i="20"/>
  <c r="AV112" i="20"/>
  <c r="L139" i="20"/>
  <c r="O139" i="20"/>
  <c r="BK122" i="20"/>
  <c r="BN122" i="20"/>
  <c r="AY129" i="20"/>
  <c r="AV129" i="20"/>
  <c r="N130" i="20"/>
  <c r="Q130" i="20"/>
  <c r="AC114" i="20"/>
  <c r="AF114" i="20"/>
  <c r="M140" i="20"/>
  <c r="P140" i="20"/>
  <c r="BL144" i="20"/>
  <c r="AV116" i="20"/>
  <c r="AY116" i="20"/>
  <c r="L109" i="20"/>
  <c r="O109" i="20"/>
  <c r="CE107" i="20"/>
  <c r="AY119" i="20"/>
  <c r="AV119" i="20"/>
  <c r="BN131" i="20"/>
  <c r="BK131" i="20"/>
  <c r="AC119" i="20"/>
  <c r="AF119" i="20"/>
  <c r="BN137" i="20"/>
  <c r="N106" i="20"/>
  <c r="Q106" i="20"/>
  <c r="CE112" i="20"/>
  <c r="BN116" i="20"/>
  <c r="BK116" i="20"/>
  <c r="N120" i="20"/>
  <c r="Q120" i="20"/>
  <c r="AW121" i="20"/>
  <c r="AT121" i="20"/>
  <c r="M138" i="20"/>
  <c r="P138" i="20"/>
  <c r="BN134" i="20"/>
  <c r="I123" i="20"/>
  <c r="I110" i="20"/>
  <c r="I117" i="20"/>
  <c r="I116" i="20"/>
  <c r="I130" i="20"/>
  <c r="N131" i="20"/>
  <c r="Q131" i="20"/>
  <c r="BP112" i="20"/>
  <c r="BM112" i="20"/>
  <c r="AT139" i="20"/>
  <c r="AW139" i="20"/>
  <c r="CE122" i="20"/>
  <c r="BP129" i="20"/>
  <c r="M130" i="20"/>
  <c r="P130" i="20"/>
  <c r="BK114" i="20"/>
  <c r="BN114" i="20"/>
  <c r="AU140" i="20"/>
  <c r="AX140" i="20"/>
  <c r="BM116" i="20"/>
  <c r="BP116" i="20"/>
  <c r="AC109" i="20"/>
  <c r="AF109" i="20"/>
  <c r="BK107" i="20"/>
  <c r="BN107" i="20"/>
  <c r="AE119" i="20"/>
  <c r="AH119" i="20"/>
  <c r="CE131" i="20"/>
  <c r="BE106" i="20"/>
  <c r="BH106" i="20" s="1"/>
  <c r="BV106" i="20"/>
  <c r="BY106" i="20" s="1"/>
  <c r="W106" i="20"/>
  <c r="Z106" i="20" s="1"/>
  <c r="F106" i="20"/>
  <c r="I106" i="20" s="1"/>
  <c r="AN106" i="20"/>
  <c r="AV133" i="20"/>
  <c r="AY133" i="20"/>
  <c r="BM132" i="20"/>
  <c r="BP132" i="20"/>
  <c r="AW140" i="20"/>
  <c r="AT140" i="20"/>
  <c r="AF129" i="20"/>
  <c r="AC129" i="20"/>
  <c r="AW115" i="20"/>
  <c r="AT115" i="20"/>
  <c r="AU135" i="20"/>
  <c r="AX135" i="20"/>
  <c r="M143" i="20"/>
  <c r="P143" i="20"/>
  <c r="BO133" i="20"/>
  <c r="BL133" i="20"/>
  <c r="BW106" i="20"/>
  <c r="BF106" i="20"/>
  <c r="BI106" i="20" s="1"/>
  <c r="X106" i="20"/>
  <c r="AA106" i="20" s="1"/>
  <c r="AO106" i="20"/>
  <c r="G106" i="20"/>
  <c r="J106" i="20" s="1"/>
  <c r="BW120" i="20"/>
  <c r="CF120" i="20" s="1"/>
  <c r="AO120" i="20"/>
  <c r="BF120" i="20"/>
  <c r="X120" i="20"/>
  <c r="AA120" i="20" s="1"/>
  <c r="G120" i="20"/>
  <c r="J120" i="20" s="1"/>
  <c r="N125" i="20"/>
  <c r="Q125" i="20"/>
  <c r="BM114" i="20"/>
  <c r="BP114" i="20"/>
  <c r="AC138" i="20"/>
  <c r="AF138" i="20"/>
  <c r="BO134" i="20"/>
  <c r="N137" i="20"/>
  <c r="Q137" i="20"/>
  <c r="BN118" i="20"/>
  <c r="BK118" i="20"/>
  <c r="AE106" i="20"/>
  <c r="AH106" i="20"/>
  <c r="N118" i="20"/>
  <c r="Q118" i="20"/>
  <c r="AC116" i="20"/>
  <c r="AF116" i="20"/>
  <c r="AE120" i="20"/>
  <c r="AH120" i="20"/>
  <c r="BK121" i="20"/>
  <c r="BN121" i="20"/>
  <c r="AU138" i="20"/>
  <c r="AX138" i="20"/>
  <c r="CE134" i="20"/>
  <c r="I119" i="20"/>
  <c r="I133" i="20"/>
  <c r="I144" i="20"/>
  <c r="I113" i="20"/>
  <c r="I112" i="20"/>
  <c r="I126" i="20"/>
  <c r="AV131" i="20"/>
  <c r="AY131" i="20"/>
  <c r="CG112" i="20"/>
  <c r="AC139" i="20"/>
  <c r="AF139" i="20"/>
  <c r="M128" i="20"/>
  <c r="P128" i="20"/>
  <c r="CG129" i="20"/>
  <c r="AU130" i="20"/>
  <c r="AX130" i="20"/>
  <c r="CE114" i="20"/>
  <c r="AG140" i="20"/>
  <c r="AD140" i="20"/>
  <c r="CG124" i="20"/>
  <c r="L110" i="20"/>
  <c r="O110" i="20"/>
  <c r="CG116" i="20"/>
  <c r="AW109" i="20"/>
  <c r="AT109" i="20"/>
  <c r="L124" i="20"/>
  <c r="O124" i="20"/>
  <c r="BP119" i="20"/>
  <c r="BM119" i="20"/>
  <c r="Z137" i="20"/>
  <c r="Z117" i="20"/>
  <c r="Z131" i="20"/>
  <c r="Z115" i="20"/>
  <c r="BM108" i="20"/>
  <c r="BP108" i="20"/>
  <c r="AC113" i="20"/>
  <c r="AF113" i="20"/>
  <c r="CG139" i="20"/>
  <c r="BP128" i="20"/>
  <c r="L123" i="20"/>
  <c r="O123" i="20"/>
  <c r="AH133" i="20"/>
  <c r="AE133" i="20"/>
  <c r="L135" i="20"/>
  <c r="O135" i="20"/>
  <c r="BN140" i="20"/>
  <c r="BK140" i="20"/>
  <c r="M142" i="20"/>
  <c r="P142" i="20"/>
  <c r="BK129" i="20"/>
  <c r="BN129" i="20"/>
  <c r="AY140" i="20"/>
  <c r="AV140" i="20"/>
  <c r="AD143" i="20"/>
  <c r="AG143" i="20"/>
  <c r="N141" i="20"/>
  <c r="Q141" i="20"/>
  <c r="AT119" i="20"/>
  <c r="AW119" i="20"/>
  <c r="AX111" i="20"/>
  <c r="AU111" i="20"/>
  <c r="CE137" i="20"/>
  <c r="L143" i="20"/>
  <c r="O143" i="20"/>
  <c r="AD118" i="20"/>
  <c r="AG118" i="20"/>
  <c r="BF109" i="20"/>
  <c r="BW109" i="20"/>
  <c r="CF109" i="20" s="1"/>
  <c r="AO109" i="20"/>
  <c r="X109" i="20"/>
  <c r="AA109" i="20" s="1"/>
  <c r="G109" i="20"/>
  <c r="J109" i="20" s="1"/>
  <c r="BW119" i="20"/>
  <c r="CF119" i="20" s="1"/>
  <c r="BF119" i="20"/>
  <c r="X119" i="20"/>
  <c r="AA119" i="20" s="1"/>
  <c r="G119" i="20"/>
  <c r="J119" i="20" s="1"/>
  <c r="AO119" i="20"/>
  <c r="AR119" i="20" s="1"/>
  <c r="BM125" i="20"/>
  <c r="BP125" i="20"/>
  <c r="CG114" i="20"/>
  <c r="AW138" i="20"/>
  <c r="AT138" i="20"/>
  <c r="BP137" i="20"/>
  <c r="CE118" i="20"/>
  <c r="BM106" i="20"/>
  <c r="BP106" i="20"/>
  <c r="AV118" i="20"/>
  <c r="AY118" i="20"/>
  <c r="CE116" i="20"/>
  <c r="AY120" i="20"/>
  <c r="AV120" i="20"/>
  <c r="M137" i="20"/>
  <c r="P137" i="20"/>
  <c r="BF108" i="20"/>
  <c r="BW108" i="20"/>
  <c r="CF108" i="20" s="1"/>
  <c r="AO108" i="20"/>
  <c r="X108" i="20"/>
  <c r="AA108" i="20" s="1"/>
  <c r="G108" i="20"/>
  <c r="J108" i="20" s="1"/>
  <c r="I115" i="20"/>
  <c r="I139" i="20"/>
  <c r="I109" i="20"/>
  <c r="I108" i="20"/>
  <c r="AE131" i="20"/>
  <c r="AH131" i="20"/>
  <c r="M129" i="20"/>
  <c r="P129" i="20"/>
  <c r="BN139" i="20"/>
  <c r="AD128" i="20"/>
  <c r="AG128" i="20"/>
  <c r="N129" i="20"/>
  <c r="Q129" i="20"/>
  <c r="AD130" i="20"/>
  <c r="AG130" i="20"/>
  <c r="M136" i="20"/>
  <c r="P136" i="20"/>
  <c r="BO140" i="20"/>
  <c r="BL140" i="20"/>
  <c r="L132" i="20"/>
  <c r="O132" i="20"/>
  <c r="AE107" i="20"/>
  <c r="AH107" i="20"/>
  <c r="AW110" i="20"/>
  <c r="AT110" i="20"/>
  <c r="AT142" i="20"/>
  <c r="AW142" i="20"/>
  <c r="L111" i="20"/>
  <c r="O111" i="20"/>
  <c r="CE109" i="20"/>
  <c r="AT124" i="20"/>
  <c r="AW124" i="20"/>
  <c r="CG119" i="20"/>
  <c r="Z122" i="20"/>
  <c r="Z144" i="20"/>
  <c r="Z113" i="20"/>
  <c r="Z127" i="20"/>
  <c r="Z142" i="20"/>
  <c r="Z111" i="20"/>
  <c r="N108" i="20"/>
  <c r="Q108" i="20"/>
  <c r="AT113" i="20"/>
  <c r="AW113" i="20"/>
  <c r="AE111" i="20"/>
  <c r="AH111" i="20"/>
  <c r="CG128" i="20"/>
  <c r="AC123" i="20"/>
  <c r="AF123" i="20"/>
  <c r="CG133" i="20"/>
  <c r="AC135" i="20"/>
  <c r="AF135" i="20"/>
  <c r="CE140" i="20"/>
  <c r="BO142" i="20"/>
  <c r="BL142" i="20"/>
  <c r="CE129" i="20"/>
  <c r="AH140" i="20"/>
  <c r="AE140" i="20"/>
  <c r="M132" i="20"/>
  <c r="P132" i="20"/>
  <c r="BO143" i="20"/>
  <c r="BL143" i="20"/>
  <c r="AH141" i="20"/>
  <c r="AE141" i="20"/>
  <c r="CE119" i="20"/>
  <c r="AT143" i="20"/>
  <c r="AW143" i="20"/>
  <c r="BW121" i="20"/>
  <c r="CF121" i="20" s="1"/>
  <c r="AO121" i="20"/>
  <c r="BF121" i="20"/>
  <c r="X121" i="20"/>
  <c r="AA121" i="20" s="1"/>
  <c r="G121" i="20"/>
  <c r="J121" i="20" s="1"/>
  <c r="BW112" i="20"/>
  <c r="CF112" i="20" s="1"/>
  <c r="BF112" i="20"/>
  <c r="AO112" i="20"/>
  <c r="X112" i="20"/>
  <c r="AA112" i="20" s="1"/>
  <c r="G112" i="20"/>
  <c r="J112" i="20" s="1"/>
  <c r="AE125" i="20"/>
  <c r="AH125" i="20"/>
  <c r="L120" i="20"/>
  <c r="O120" i="20"/>
  <c r="BN138" i="20"/>
  <c r="M141" i="20"/>
  <c r="P141" i="20"/>
  <c r="AE137" i="20"/>
  <c r="AH137" i="20"/>
  <c r="N122" i="20"/>
  <c r="Q122" i="20"/>
  <c r="CG106" i="20"/>
  <c r="AE118" i="20"/>
  <c r="AH118" i="20"/>
  <c r="L125" i="20"/>
  <c r="O125" i="20"/>
  <c r="BP120" i="20"/>
  <c r="AX137" i="20"/>
  <c r="AU137" i="20"/>
  <c r="BL138" i="20"/>
  <c r="BO138" i="20"/>
  <c r="AV110" i="20"/>
  <c r="AY110" i="20"/>
  <c r="I111" i="20"/>
  <c r="I131" i="20"/>
  <c r="I143" i="20"/>
  <c r="I142" i="20"/>
  <c r="I141" i="20"/>
  <c r="BP131" i="20"/>
  <c r="AD129" i="20"/>
  <c r="AG129" i="20"/>
  <c r="CE139" i="20"/>
  <c r="AH130" i="20"/>
  <c r="AE130" i="20"/>
  <c r="AU136" i="20"/>
  <c r="AX136" i="20"/>
  <c r="AZ136" i="20" s="1"/>
  <c r="AC132" i="20"/>
  <c r="AF132" i="20"/>
  <c r="CG107" i="20"/>
  <c r="CE110" i="20"/>
  <c r="L142" i="20"/>
  <c r="O142" i="20"/>
  <c r="AC111" i="20"/>
  <c r="AF111" i="20"/>
  <c r="BN109" i="20"/>
  <c r="BK109" i="20"/>
  <c r="AC124" i="20"/>
  <c r="AF124" i="20"/>
  <c r="BW116" i="20"/>
  <c r="CF116" i="20" s="1"/>
  <c r="BF116" i="20"/>
  <c r="AO116" i="20"/>
  <c r="X116" i="20"/>
  <c r="AA116" i="20" s="1"/>
  <c r="G116" i="20"/>
  <c r="J116" i="20" s="1"/>
  <c r="Z129" i="20"/>
  <c r="Z140" i="20"/>
  <c r="Z109" i="20"/>
  <c r="Z124" i="20"/>
  <c r="Z138" i="20"/>
  <c r="Z107" i="20"/>
  <c r="L108" i="20"/>
  <c r="O108" i="20"/>
  <c r="BK113" i="20"/>
  <c r="BN113" i="20"/>
  <c r="CG111" i="20"/>
  <c r="N128" i="20"/>
  <c r="Q128" i="20"/>
  <c r="AW123" i="20"/>
  <c r="AT123" i="20"/>
  <c r="BP133" i="20"/>
  <c r="AT135" i="20"/>
  <c r="AW135" i="20"/>
  <c r="M131" i="20"/>
  <c r="P131" i="20"/>
  <c r="AD142" i="20"/>
  <c r="AG142" i="20"/>
  <c r="L115" i="20"/>
  <c r="O115" i="20"/>
  <c r="BM140" i="20"/>
  <c r="BP140" i="20"/>
  <c r="AD132" i="20"/>
  <c r="AG132" i="20"/>
  <c r="AV141" i="20"/>
  <c r="AY141" i="20"/>
  <c r="L117" i="20"/>
  <c r="O117" i="20"/>
  <c r="AC143" i="20"/>
  <c r="AF143" i="20"/>
  <c r="AY125" i="20"/>
  <c r="AV125" i="20"/>
  <c r="AC120" i="20"/>
  <c r="AF120" i="20"/>
  <c r="CE138" i="20"/>
  <c r="AX141" i="20"/>
  <c r="AU141" i="20"/>
  <c r="AV137" i="20"/>
  <c r="AY137" i="20"/>
  <c r="AE122" i="20"/>
  <c r="AH122" i="20"/>
  <c r="L112" i="20"/>
  <c r="O112" i="20"/>
  <c r="BP118" i="20"/>
  <c r="BM118" i="20"/>
  <c r="AC125" i="20"/>
  <c r="AF125" i="20"/>
  <c r="CG120" i="20"/>
  <c r="AD137" i="20"/>
  <c r="AG137" i="20"/>
  <c r="AE110" i="20"/>
  <c r="AH110" i="20"/>
  <c r="I107" i="20"/>
  <c r="I137" i="20"/>
  <c r="I136" i="20"/>
  <c r="I135" i="20"/>
  <c r="CG131" i="20"/>
  <c r="AU129" i="20"/>
  <c r="AX129" i="20"/>
  <c r="L122" i="20"/>
  <c r="O122" i="20"/>
  <c r="AU128" i="20"/>
  <c r="AX128" i="20"/>
  <c r="AV130" i="20"/>
  <c r="AY130" i="20"/>
  <c r="BL130" i="20"/>
  <c r="BO130" i="20"/>
  <c r="AG136" i="20"/>
  <c r="AD136" i="20"/>
  <c r="AU144" i="20"/>
  <c r="AX144" i="20"/>
  <c r="AZ144" i="20" s="1"/>
  <c r="AW132" i="20"/>
  <c r="AT132" i="20"/>
  <c r="AV107" i="20"/>
  <c r="AY107" i="20"/>
  <c r="BN110" i="20"/>
  <c r="BK110" i="20"/>
  <c r="AC142" i="20"/>
  <c r="AF142" i="20"/>
  <c r="AW111" i="20"/>
  <c r="AT111" i="20"/>
  <c r="L107" i="20"/>
  <c r="O107" i="20"/>
  <c r="BN124" i="20"/>
  <c r="BK124" i="20"/>
  <c r="L131" i="20"/>
  <c r="O131" i="20"/>
  <c r="Z110" i="20"/>
  <c r="Z114" i="20"/>
  <c r="Z136" i="20"/>
  <c r="Z120" i="20"/>
  <c r="Z134" i="20"/>
  <c r="AC108" i="20"/>
  <c r="AF108" i="20"/>
  <c r="CE113" i="20"/>
  <c r="AY111" i="20"/>
  <c r="AV111" i="20"/>
  <c r="CE123" i="20"/>
  <c r="N132" i="20"/>
  <c r="Q132" i="20"/>
  <c r="BK135" i="20"/>
  <c r="BN135" i="20"/>
  <c r="AX131" i="20"/>
  <c r="AU131" i="20"/>
  <c r="AC115" i="20"/>
  <c r="AF115" i="20"/>
  <c r="CG140" i="20"/>
  <c r="AU132" i="20"/>
  <c r="AX132" i="20"/>
  <c r="M133" i="20"/>
  <c r="P133" i="20"/>
  <c r="BP141" i="20"/>
  <c r="BM141" i="20"/>
  <c r="AC117" i="20"/>
  <c r="AF117" i="20"/>
  <c r="BK143" i="20"/>
  <c r="BN143" i="20"/>
  <c r="BW123" i="20"/>
  <c r="CF123" i="20" s="1"/>
  <c r="AO123" i="20"/>
  <c r="BF123" i="20"/>
  <c r="X123" i="20"/>
  <c r="AA123" i="20" s="1"/>
  <c r="G123" i="20"/>
  <c r="J123" i="20" s="1"/>
  <c r="CG125" i="20"/>
  <c r="BN120" i="20"/>
  <c r="BW124" i="20"/>
  <c r="CF124" i="20" s="1"/>
  <c r="BF124" i="20"/>
  <c r="X124" i="20"/>
  <c r="AA124" i="20" s="1"/>
  <c r="AO124" i="20"/>
  <c r="G124" i="20"/>
  <c r="J124" i="20" s="1"/>
  <c r="AG141" i="20"/>
  <c r="AD141" i="20"/>
  <c r="CG137" i="20"/>
  <c r="AV122" i="20"/>
  <c r="AY122" i="20"/>
  <c r="AC112" i="20"/>
  <c r="AF112" i="20"/>
  <c r="CG118" i="20"/>
  <c r="AW125" i="20"/>
  <c r="AT125" i="20"/>
  <c r="L121" i="20"/>
  <c r="O121" i="20"/>
  <c r="BL137" i="20"/>
  <c r="BO137" i="20"/>
  <c r="L134" i="20"/>
  <c r="O134" i="20"/>
  <c r="CG110" i="20"/>
  <c r="I140" i="20"/>
  <c r="I122" i="20"/>
  <c r="I129" i="20"/>
  <c r="I128" i="20"/>
  <c r="I127" i="20"/>
  <c r="N112" i="20"/>
  <c r="Q112" i="20"/>
  <c r="BL129" i="20"/>
  <c r="BO129" i="20"/>
  <c r="AC122" i="20"/>
  <c r="AF122" i="20"/>
  <c r="BL128" i="20"/>
  <c r="BO128" i="20"/>
  <c r="BM130" i="20"/>
  <c r="BP130" i="20"/>
  <c r="L114" i="20"/>
  <c r="O114" i="20"/>
  <c r="BL136" i="20"/>
  <c r="BO136" i="20"/>
  <c r="M144" i="20"/>
  <c r="P144" i="20"/>
  <c r="BN132" i="20"/>
  <c r="BK132" i="20"/>
  <c r="N124" i="20"/>
  <c r="Q124" i="20"/>
  <c r="BM107" i="20"/>
  <c r="BP107" i="20"/>
  <c r="M139" i="20"/>
  <c r="P139" i="20"/>
  <c r="BN142" i="20"/>
  <c r="BK142" i="20"/>
  <c r="N116" i="20"/>
  <c r="Q116" i="20"/>
  <c r="BN111" i="20"/>
  <c r="AC107" i="20"/>
  <c r="AF107" i="20"/>
  <c r="CE124" i="20"/>
  <c r="AT131" i="20"/>
  <c r="AW131" i="20"/>
  <c r="Z133" i="20"/>
  <c r="Z132" i="20"/>
  <c r="Z116" i="20"/>
  <c r="Z130" i="20"/>
  <c r="AT108" i="20"/>
  <c r="AW108" i="20"/>
  <c r="N139" i="20"/>
  <c r="Q139" i="20"/>
  <c r="BP111" i="20"/>
  <c r="BM111" i="20"/>
  <c r="BK123" i="20"/>
  <c r="BN123" i="20"/>
  <c r="AE132" i="20"/>
  <c r="AH132" i="20"/>
  <c r="CE135" i="20"/>
  <c r="AD131" i="20"/>
  <c r="AG131" i="20"/>
  <c r="BK115" i="20"/>
  <c r="BN115" i="20"/>
  <c r="M135" i="20"/>
  <c r="P135" i="20"/>
  <c r="BO132" i="20"/>
  <c r="AD133" i="20"/>
  <c r="AG133" i="20"/>
  <c r="CG141" i="20"/>
  <c r="AW117" i="20"/>
  <c r="AT117" i="20"/>
  <c r="L137" i="20"/>
  <c r="O137" i="20"/>
  <c r="AU115" i="20"/>
  <c r="AX115" i="20"/>
  <c r="CE143" i="20"/>
  <c r="BF107" i="20"/>
  <c r="BI107" i="20" s="1"/>
  <c r="AO107" i="20"/>
  <c r="BW107" i="20"/>
  <c r="X107" i="20"/>
  <c r="AA107" i="20" s="1"/>
  <c r="G107" i="20"/>
  <c r="J107" i="20" s="1"/>
  <c r="N114" i="20"/>
  <c r="Q114" i="20"/>
  <c r="AT120" i="20"/>
  <c r="AW120" i="20"/>
  <c r="M134" i="20"/>
  <c r="P134" i="20"/>
  <c r="BO141" i="20"/>
  <c r="BL141" i="20"/>
  <c r="L118" i="20"/>
  <c r="O118" i="20"/>
  <c r="BP122" i="20"/>
  <c r="AT112" i="20"/>
  <c r="AW112" i="20"/>
  <c r="AT116" i="20"/>
  <c r="AW116" i="20"/>
  <c r="BN125" i="20"/>
  <c r="BK125" i="20"/>
  <c r="AC121" i="20"/>
  <c r="AF121" i="20"/>
  <c r="AT134" i="20"/>
  <c r="AW134" i="20"/>
  <c r="BP110" i="20"/>
  <c r="BM110" i="20"/>
  <c r="I132" i="20"/>
  <c r="I118" i="20"/>
  <c r="I125" i="20"/>
  <c r="I124" i="20"/>
  <c r="I138" i="20"/>
  <c r="AE112" i="20"/>
  <c r="AH112" i="20"/>
  <c r="AT122" i="20"/>
  <c r="AW122" i="20"/>
  <c r="AE129" i="20"/>
  <c r="AH129" i="20"/>
  <c r="CG130" i="20"/>
  <c r="AT114" i="20"/>
  <c r="AW114" i="20"/>
  <c r="AD144" i="20"/>
  <c r="AG144" i="20"/>
  <c r="CE132" i="20"/>
  <c r="AV124" i="20"/>
  <c r="AY124" i="20"/>
  <c r="N107" i="20"/>
  <c r="Q107" i="20"/>
  <c r="AX139" i="20"/>
  <c r="AU139" i="20"/>
  <c r="CE142" i="20"/>
  <c r="AH116" i="20"/>
  <c r="AE116" i="20"/>
  <c r="CE111" i="20"/>
  <c r="AW107" i="20"/>
  <c r="AT107" i="20"/>
  <c r="N119" i="20"/>
  <c r="Q119" i="20"/>
  <c r="AC131" i="20"/>
  <c r="AF131" i="20"/>
  <c r="Z141" i="20"/>
  <c r="Z118" i="20"/>
  <c r="Z128" i="20"/>
  <c r="Z143" i="20"/>
  <c r="Z112" i="20"/>
  <c r="Z126" i="20"/>
  <c r="AV108" i="20"/>
  <c r="AY108" i="20"/>
  <c r="BN108" i="20"/>
  <c r="AV139" i="20"/>
  <c r="AY139" i="20"/>
  <c r="N111" i="20"/>
  <c r="Q111" i="20"/>
  <c r="AY132" i="20"/>
  <c r="AV132" i="20"/>
  <c r="L140" i="20"/>
  <c r="O140" i="20"/>
  <c r="BL131" i="20"/>
  <c r="BO131" i="20"/>
  <c r="L129" i="20"/>
  <c r="O129" i="20"/>
  <c r="CE115" i="20"/>
  <c r="AD135" i="20"/>
  <c r="AG135" i="20"/>
  <c r="AX133" i="20"/>
  <c r="AU133" i="20"/>
  <c r="L119" i="20"/>
  <c r="O119" i="20"/>
  <c r="BN117" i="20"/>
  <c r="BK117" i="20"/>
  <c r="AT137" i="20"/>
  <c r="AW137" i="20"/>
  <c r="AQ127" i="20" l="1"/>
  <c r="AQ117" i="20"/>
  <c r="AS141" i="20"/>
  <c r="AS126" i="20"/>
  <c r="AQ140" i="20"/>
  <c r="AS127" i="20"/>
  <c r="AS114" i="20"/>
  <c r="AQ106" i="20"/>
  <c r="AR141" i="20"/>
  <c r="AR131" i="20"/>
  <c r="CA107" i="20"/>
  <c r="BJ106" i="20"/>
  <c r="BK128" i="20"/>
  <c r="AQ107" i="20"/>
  <c r="AQ128" i="20"/>
  <c r="AR117" i="20"/>
  <c r="AS129" i="20"/>
  <c r="BL132" i="20"/>
  <c r="BM120" i="20"/>
  <c r="BK138" i="20"/>
  <c r="BM137" i="20"/>
  <c r="BK134" i="20"/>
  <c r="BK137" i="20"/>
  <c r="BK112" i="20"/>
  <c r="BM142" i="20"/>
  <c r="BK111" i="20"/>
  <c r="BM128" i="20"/>
  <c r="BM129" i="20"/>
  <c r="BM123" i="20"/>
  <c r="BL127" i="20"/>
  <c r="BM139" i="20"/>
  <c r="AQ142" i="20"/>
  <c r="AR140" i="20"/>
  <c r="BK108" i="20"/>
  <c r="BM122" i="20"/>
  <c r="AR107" i="20"/>
  <c r="BQ136" i="20"/>
  <c r="BD191" i="20" s="1"/>
  <c r="BK120" i="20"/>
  <c r="BM133" i="20"/>
  <c r="BM131" i="20"/>
  <c r="BK139" i="20"/>
  <c r="BL134" i="20"/>
  <c r="AR106" i="20"/>
  <c r="BK130" i="20"/>
  <c r="BM136" i="20"/>
  <c r="BL118" i="20"/>
  <c r="BQ145" i="20"/>
  <c r="AQ131" i="20"/>
  <c r="AR130" i="20"/>
  <c r="AR120" i="20"/>
  <c r="AR116" i="20"/>
  <c r="AR118" i="20"/>
  <c r="AQ120" i="20"/>
  <c r="AS136" i="20"/>
  <c r="AR112" i="20"/>
  <c r="AQ108" i="20"/>
  <c r="AQ115" i="20"/>
  <c r="AS115" i="20"/>
  <c r="AS124" i="20"/>
  <c r="AQ133" i="20"/>
  <c r="AS109" i="20"/>
  <c r="AR108" i="20"/>
  <c r="AQ110" i="20"/>
  <c r="CA106" i="20"/>
  <c r="AQ121" i="20"/>
  <c r="AR121" i="20"/>
  <c r="AQ132" i="20"/>
  <c r="AR122" i="20"/>
  <c r="AS122" i="20"/>
  <c r="AR109" i="20"/>
  <c r="AQ118" i="20"/>
  <c r="AR129" i="20"/>
  <c r="AQ136" i="20"/>
  <c r="AR132" i="20"/>
  <c r="AQ130" i="20"/>
  <c r="AQ112" i="20"/>
  <c r="AS142" i="20"/>
  <c r="AR124" i="20"/>
  <c r="AQ135" i="20"/>
  <c r="AR123" i="20"/>
  <c r="AS123" i="20"/>
  <c r="AS120" i="20"/>
  <c r="AQ138" i="20"/>
  <c r="AR133" i="20"/>
  <c r="AS134" i="20"/>
  <c r="AR134" i="20"/>
  <c r="AQ139" i="20"/>
  <c r="AQ126" i="20"/>
  <c r="BY145" i="20"/>
  <c r="BZ145" i="20"/>
  <c r="BY144" i="20"/>
  <c r="BZ144" i="20"/>
  <c r="BY118" i="20"/>
  <c r="BY117" i="20"/>
  <c r="BY122" i="20"/>
  <c r="BY119" i="20"/>
  <c r="BZ139" i="20"/>
  <c r="BY143" i="20"/>
  <c r="BZ138" i="20"/>
  <c r="CA112" i="20"/>
  <c r="BY109" i="20"/>
  <c r="BZ142" i="20"/>
  <c r="CA142" i="20"/>
  <c r="BY115" i="20"/>
  <c r="BY129" i="20"/>
  <c r="BZ132" i="20"/>
  <c r="BZ108" i="20"/>
  <c r="BZ116" i="20"/>
  <c r="BZ118" i="20"/>
  <c r="BZ117" i="20"/>
  <c r="CA122" i="20"/>
  <c r="BZ119" i="20"/>
  <c r="CA139" i="20"/>
  <c r="BZ143" i="20"/>
  <c r="CA138" i="20"/>
  <c r="BY112" i="20"/>
  <c r="CA109" i="20"/>
  <c r="BY131" i="20"/>
  <c r="CA131" i="20"/>
  <c r="BZ133" i="20"/>
  <c r="CA132" i="20"/>
  <c r="CA111" i="20"/>
  <c r="CA118" i="20"/>
  <c r="CA117" i="20"/>
  <c r="BZ122" i="20"/>
  <c r="CA119" i="20"/>
  <c r="BY139" i="20"/>
  <c r="CA143" i="20"/>
  <c r="BY138" i="20"/>
  <c r="BZ112" i="20"/>
  <c r="BZ109" i="20"/>
  <c r="BZ134" i="20"/>
  <c r="CA115" i="20"/>
  <c r="BZ120" i="20"/>
  <c r="CA126" i="20"/>
  <c r="BZ137" i="20"/>
  <c r="BZ110" i="20"/>
  <c r="CA120" i="20"/>
  <c r="BY126" i="20"/>
  <c r="BZ130" i="20"/>
  <c r="BZ141" i="20"/>
  <c r="BZ125" i="20"/>
  <c r="CA129" i="20"/>
  <c r="CA140" i="20"/>
  <c r="BY135" i="20"/>
  <c r="BY125" i="20"/>
  <c r="BY110" i="20"/>
  <c r="BZ131" i="20"/>
  <c r="BY142" i="20"/>
  <c r="BY134" i="20"/>
  <c r="BZ115" i="20"/>
  <c r="BZ127" i="20"/>
  <c r="BY120" i="20"/>
  <c r="BZ126" i="20"/>
  <c r="CA137" i="20"/>
  <c r="CA123" i="20"/>
  <c r="CA110" i="20"/>
  <c r="CA127" i="20"/>
  <c r="BY123" i="20"/>
  <c r="CA134" i="20"/>
  <c r="BY127" i="20"/>
  <c r="BY137" i="20"/>
  <c r="BZ123" i="20"/>
  <c r="CA133" i="20"/>
  <c r="BZ111" i="20"/>
  <c r="CA130" i="20"/>
  <c r="CA108" i="20"/>
  <c r="BY130" i="20"/>
  <c r="BY133" i="20"/>
  <c r="BZ129" i="20"/>
  <c r="BY140" i="20"/>
  <c r="BZ135" i="20"/>
  <c r="BY132" i="20"/>
  <c r="BY141" i="20"/>
  <c r="CA125" i="20"/>
  <c r="BY108" i="20"/>
  <c r="BY116" i="20"/>
  <c r="BY111" i="20"/>
  <c r="BZ140" i="20"/>
  <c r="CA135" i="20"/>
  <c r="CA141" i="20"/>
  <c r="CA116" i="20"/>
  <c r="BY128" i="20"/>
  <c r="BY121" i="20"/>
  <c r="BZ114" i="20"/>
  <c r="CA113" i="20"/>
  <c r="CA124" i="20"/>
  <c r="CA136" i="20"/>
  <c r="BZ128" i="20"/>
  <c r="CA121" i="20"/>
  <c r="CA114" i="20"/>
  <c r="BY113" i="20"/>
  <c r="BY124" i="20"/>
  <c r="BY136" i="20"/>
  <c r="CA128" i="20"/>
  <c r="BZ121" i="20"/>
  <c r="BY114" i="20"/>
  <c r="BZ113" i="20"/>
  <c r="BZ124" i="20"/>
  <c r="BZ136" i="20"/>
  <c r="AS128" i="20"/>
  <c r="AQ111" i="20"/>
  <c r="BM144" i="20"/>
  <c r="BI145" i="20"/>
  <c r="BJ145" i="20"/>
  <c r="BH145" i="20"/>
  <c r="BO200" i="20" s="1"/>
  <c r="BH144" i="20"/>
  <c r="BS199" i="20" s="1"/>
  <c r="BJ144" i="20"/>
  <c r="BI144" i="20"/>
  <c r="BJ143" i="20"/>
  <c r="BH137" i="20"/>
  <c r="BJ130" i="20"/>
  <c r="BH126" i="20"/>
  <c r="BJ123" i="20"/>
  <c r="BH110" i="20"/>
  <c r="BI121" i="20"/>
  <c r="BI133" i="20"/>
  <c r="BI141" i="20"/>
  <c r="BJ111" i="20"/>
  <c r="BI135" i="20"/>
  <c r="BJ113" i="20"/>
  <c r="BJ139" i="20"/>
  <c r="BI140" i="20"/>
  <c r="BH118" i="20"/>
  <c r="BJ140" i="20"/>
  <c r="BJ116" i="20"/>
  <c r="BI143" i="20"/>
  <c r="BI137" i="20"/>
  <c r="BI130" i="20"/>
  <c r="BI126" i="20"/>
  <c r="BH123" i="20"/>
  <c r="BI110" i="20"/>
  <c r="BJ121" i="20"/>
  <c r="BJ133" i="20"/>
  <c r="BJ141" i="20"/>
  <c r="BJ132" i="20"/>
  <c r="BI111" i="20"/>
  <c r="BI138" i="20"/>
  <c r="BJ135" i="20"/>
  <c r="BJ109" i="20"/>
  <c r="BI113" i="20"/>
  <c r="BJ138" i="20"/>
  <c r="BH119" i="20"/>
  <c r="BJ124" i="20"/>
  <c r="BJ136" i="20"/>
  <c r="BI119" i="20"/>
  <c r="BH143" i="20"/>
  <c r="BJ137" i="20"/>
  <c r="BH130" i="20"/>
  <c r="BJ126" i="20"/>
  <c r="BG181" i="20" s="1"/>
  <c r="BI123" i="20"/>
  <c r="BJ110" i="20"/>
  <c r="BH121" i="20"/>
  <c r="BH133" i="20"/>
  <c r="BI114" i="20"/>
  <c r="BJ125" i="20"/>
  <c r="BH132" i="20"/>
  <c r="BJ117" i="20"/>
  <c r="BI124" i="20"/>
  <c r="BI134" i="20"/>
  <c r="BI116" i="20"/>
  <c r="BJ120" i="20"/>
  <c r="BI139" i="20"/>
  <c r="BJ134" i="20"/>
  <c r="BH120" i="20"/>
  <c r="BH114" i="20"/>
  <c r="BH141" i="20"/>
  <c r="BI125" i="20"/>
  <c r="BI132" i="20"/>
  <c r="BH111" i="20"/>
  <c r="BH138" i="20"/>
  <c r="BH135" i="20"/>
  <c r="BI109" i="20"/>
  <c r="BI117" i="20"/>
  <c r="BH113" i="20"/>
  <c r="BH125" i="20"/>
  <c r="BH117" i="20"/>
  <c r="BJ114" i="20"/>
  <c r="BH109" i="20"/>
  <c r="BI136" i="20"/>
  <c r="BJ118" i="20"/>
  <c r="BH139" i="20"/>
  <c r="BH124" i="20"/>
  <c r="BH140" i="20"/>
  <c r="BH136" i="20"/>
  <c r="BH134" i="20"/>
  <c r="BJ119" i="20"/>
  <c r="BH116" i="20"/>
  <c r="BI120" i="20"/>
  <c r="BI118" i="20"/>
  <c r="BH129" i="20"/>
  <c r="BH127" i="20"/>
  <c r="BD182" i="20" s="1"/>
  <c r="BJ142" i="20"/>
  <c r="BH112" i="20"/>
  <c r="BJ131" i="20"/>
  <c r="BH122" i="20"/>
  <c r="BH128" i="20"/>
  <c r="BH115" i="20"/>
  <c r="BI108" i="20"/>
  <c r="BI129" i="20"/>
  <c r="BJ127" i="20"/>
  <c r="BH142" i="20"/>
  <c r="BI112" i="20"/>
  <c r="BI131" i="20"/>
  <c r="BI122" i="20"/>
  <c r="BJ128" i="20"/>
  <c r="BI115" i="20"/>
  <c r="BJ108" i="20"/>
  <c r="BJ129" i="20"/>
  <c r="BI127" i="20"/>
  <c r="BI142" i="20"/>
  <c r="BJ112" i="20"/>
  <c r="BH131" i="20"/>
  <c r="BJ122" i="20"/>
  <c r="BI128" i="20"/>
  <c r="BJ115" i="20"/>
  <c r="BH108" i="20"/>
  <c r="AQ125" i="20"/>
  <c r="AR125" i="20"/>
  <c r="AR139" i="20"/>
  <c r="AQ116" i="20"/>
  <c r="BJ107" i="20"/>
  <c r="CF107" i="20"/>
  <c r="CH107" i="20" s="1"/>
  <c r="BZ107" i="20"/>
  <c r="CF106" i="20"/>
  <c r="BZ106" i="20"/>
  <c r="R127" i="20"/>
  <c r="R182" i="20" s="1"/>
  <c r="BL145" i="20"/>
  <c r="BK145" i="20"/>
  <c r="BM145" i="20"/>
  <c r="BX144" i="20"/>
  <c r="CG144" i="20" s="1"/>
  <c r="CH144" i="20" s="1"/>
  <c r="BX145" i="20"/>
  <c r="CA145" i="20" s="1"/>
  <c r="CB108" i="20"/>
  <c r="CB145" i="20"/>
  <c r="CC145" i="20"/>
  <c r="R136" i="20"/>
  <c r="R137" i="20"/>
  <c r="AB200" i="20"/>
  <c r="R130" i="20"/>
  <c r="X200" i="20"/>
  <c r="AK200" i="20"/>
  <c r="V200" i="20"/>
  <c r="AD200" i="20"/>
  <c r="AH200" i="20"/>
  <c r="AJ200" i="20"/>
  <c r="AF200" i="20"/>
  <c r="E246" i="20" s="1"/>
  <c r="W200" i="20"/>
  <c r="Z200" i="20"/>
  <c r="AE200" i="20"/>
  <c r="AC200" i="20"/>
  <c r="Y200" i="20"/>
  <c r="AI200" i="20"/>
  <c r="E200" i="20"/>
  <c r="AG200" i="20"/>
  <c r="AA200" i="20"/>
  <c r="P200" i="20"/>
  <c r="H200" i="20"/>
  <c r="J200" i="20"/>
  <c r="F200" i="20"/>
  <c r="I200" i="20"/>
  <c r="K200" i="20"/>
  <c r="M200" i="20"/>
  <c r="O200" i="20"/>
  <c r="D246" i="20" s="1"/>
  <c r="AL200" i="20"/>
  <c r="N200" i="20"/>
  <c r="R200" i="20"/>
  <c r="Q200" i="20"/>
  <c r="G200" i="20"/>
  <c r="T200" i="20"/>
  <c r="L200" i="20"/>
  <c r="S200" i="20"/>
  <c r="R143" i="20"/>
  <c r="R133" i="20"/>
  <c r="R141" i="20"/>
  <c r="R134" i="20"/>
  <c r="R135" i="20"/>
  <c r="R128" i="20"/>
  <c r="R132" i="20"/>
  <c r="R129" i="20"/>
  <c r="R140" i="20"/>
  <c r="R131" i="20"/>
  <c r="R142" i="20"/>
  <c r="R138" i="20"/>
  <c r="R139" i="20"/>
  <c r="R144" i="20"/>
  <c r="AI128" i="20"/>
  <c r="AG183" i="20" s="1"/>
  <c r="AI130" i="20"/>
  <c r="AG185" i="20" s="1"/>
  <c r="AI129" i="20"/>
  <c r="AG184" i="20" s="1"/>
  <c r="AI139" i="20"/>
  <c r="AH194" i="20" s="1"/>
  <c r="BM191" i="20"/>
  <c r="BN191" i="20"/>
  <c r="G237" i="20" s="1"/>
  <c r="BJ191" i="20"/>
  <c r="BS191" i="20"/>
  <c r="BQ191" i="20"/>
  <c r="BR191" i="20"/>
  <c r="BG191" i="20"/>
  <c r="AI134" i="20"/>
  <c r="AK189" i="20" s="1"/>
  <c r="AI132" i="20"/>
  <c r="AH187" i="20" s="1"/>
  <c r="AI133" i="20"/>
  <c r="AC188" i="20" s="1"/>
  <c r="AI140" i="20"/>
  <c r="AH195" i="20" s="1"/>
  <c r="AI131" i="20"/>
  <c r="AG186" i="20" s="1"/>
  <c r="AI182" i="20"/>
  <c r="AI144" i="20"/>
  <c r="AI136" i="20"/>
  <c r="AF191" i="20" s="1"/>
  <c r="AI141" i="20"/>
  <c r="AB196" i="20" s="1"/>
  <c r="W181" i="20"/>
  <c r="AJ182" i="20"/>
  <c r="AB182" i="20"/>
  <c r="V182" i="20"/>
  <c r="X182" i="20"/>
  <c r="AD182" i="20"/>
  <c r="AH182" i="20"/>
  <c r="AG181" i="20"/>
  <c r="W182" i="20"/>
  <c r="AH181" i="20"/>
  <c r="Z182" i="20"/>
  <c r="AF181" i="20"/>
  <c r="E227" i="20" s="1"/>
  <c r="AI135" i="20"/>
  <c r="AI143" i="20"/>
  <c r="AI138" i="20"/>
  <c r="X181" i="20"/>
  <c r="AI181" i="20"/>
  <c r="Y182" i="20"/>
  <c r="AE182" i="20"/>
  <c r="CD125" i="20"/>
  <c r="AI137" i="20"/>
  <c r="V181" i="20"/>
  <c r="AB181" i="20"/>
  <c r="AG182" i="20"/>
  <c r="AK182" i="20"/>
  <c r="AJ181" i="20"/>
  <c r="Y181" i="20"/>
  <c r="AA181" i="20"/>
  <c r="AD181" i="20"/>
  <c r="J118" i="20"/>
  <c r="AA182" i="20"/>
  <c r="AF182" i="20"/>
  <c r="E228" i="20" s="1"/>
  <c r="Z181" i="20"/>
  <c r="AK181" i="20"/>
  <c r="AC181" i="20"/>
  <c r="CB111" i="20"/>
  <c r="AI142" i="20"/>
  <c r="AI118" i="20"/>
  <c r="BO115" i="20"/>
  <c r="BQ115" i="20" s="1"/>
  <c r="AE181" i="20"/>
  <c r="AC182" i="20"/>
  <c r="CC111" i="20"/>
  <c r="CB129" i="20"/>
  <c r="CB125" i="20"/>
  <c r="CB117" i="20"/>
  <c r="CC144" i="20"/>
  <c r="CB118" i="20"/>
  <c r="BL115" i="20"/>
  <c r="M115" i="20"/>
  <c r="P115" i="20"/>
  <c r="R115" i="20" s="1"/>
  <c r="CB115" i="20"/>
  <c r="CC142" i="20"/>
  <c r="CB138" i="20"/>
  <c r="CB110" i="20"/>
  <c r="CD119" i="20"/>
  <c r="CD139" i="20"/>
  <c r="CD116" i="20"/>
  <c r="CB143" i="20"/>
  <c r="CD141" i="20"/>
  <c r="CD131" i="20"/>
  <c r="CD120" i="20"/>
  <c r="CH128" i="20"/>
  <c r="CD114" i="20"/>
  <c r="CC139" i="20"/>
  <c r="CD124" i="20"/>
  <c r="CD129" i="20"/>
  <c r="CC118" i="20"/>
  <c r="CH136" i="20"/>
  <c r="CC137" i="20"/>
  <c r="CB113" i="20"/>
  <c r="CC140" i="20"/>
  <c r="CC128" i="20"/>
  <c r="CD106" i="20"/>
  <c r="CB140" i="20"/>
  <c r="CD128" i="20"/>
  <c r="CB116" i="20"/>
  <c r="L181" i="20"/>
  <c r="CB134" i="20"/>
  <c r="CB112" i="20"/>
  <c r="CB142" i="20"/>
  <c r="CD107" i="20"/>
  <c r="CB137" i="20"/>
  <c r="CD110" i="20"/>
  <c r="CC129" i="20"/>
  <c r="CB124" i="20"/>
  <c r="CD137" i="20"/>
  <c r="CD140" i="20"/>
  <c r="CC143" i="20"/>
  <c r="CD111" i="20"/>
  <c r="CB139" i="20"/>
  <c r="CB119" i="20"/>
  <c r="CB109" i="20"/>
  <c r="CC138" i="20"/>
  <c r="CC134" i="20"/>
  <c r="CC135" i="20"/>
  <c r="CC131" i="20"/>
  <c r="CC136" i="20"/>
  <c r="CD133" i="20"/>
  <c r="CB114" i="20"/>
  <c r="CC141" i="20"/>
  <c r="CC133" i="20"/>
  <c r="CC132" i="20"/>
  <c r="CB132" i="20"/>
  <c r="CD130" i="20"/>
  <c r="CB135" i="20"/>
  <c r="CD118" i="20"/>
  <c r="CB123" i="20"/>
  <c r="CC130" i="20"/>
  <c r="CD112" i="20"/>
  <c r="AD115" i="20"/>
  <c r="AG115" i="20"/>
  <c r="AI115" i="20" s="1"/>
  <c r="CH115" i="20"/>
  <c r="CC115" i="20"/>
  <c r="AX118" i="20"/>
  <c r="AZ118" i="20" s="1"/>
  <c r="AZ143" i="20"/>
  <c r="CH139" i="20"/>
  <c r="CH143" i="20"/>
  <c r="AZ138" i="20"/>
  <c r="P118" i="20"/>
  <c r="R118" i="20" s="1"/>
  <c r="AZ135" i="20"/>
  <c r="CH135" i="20"/>
  <c r="BO118" i="20"/>
  <c r="BQ118" i="20" s="1"/>
  <c r="AD111" i="20"/>
  <c r="AG111" i="20"/>
  <c r="AI111" i="20" s="1"/>
  <c r="CH118" i="20"/>
  <c r="BL111" i="20"/>
  <c r="BO111" i="20"/>
  <c r="BQ111" i="20" s="1"/>
  <c r="CH111" i="20"/>
  <c r="CH129" i="20"/>
  <c r="CH142" i="20"/>
  <c r="BQ142" i="20"/>
  <c r="S182" i="20"/>
  <c r="AZ130" i="20"/>
  <c r="CB131" i="20"/>
  <c r="CB122" i="20"/>
  <c r="P111" i="20"/>
  <c r="R111" i="20" s="1"/>
  <c r="M111" i="20"/>
  <c r="CB107" i="20"/>
  <c r="CB121" i="20"/>
  <c r="H182" i="20"/>
  <c r="AZ131" i="20"/>
  <c r="H181" i="20"/>
  <c r="CH138" i="20"/>
  <c r="P181" i="20"/>
  <c r="CH130" i="20"/>
  <c r="G181" i="20"/>
  <c r="M181" i="20"/>
  <c r="BQ135" i="20"/>
  <c r="BQ139" i="20"/>
  <c r="J181" i="20"/>
  <c r="T181" i="20"/>
  <c r="N182" i="20"/>
  <c r="AZ134" i="20"/>
  <c r="BQ134" i="20"/>
  <c r="BQ131" i="20"/>
  <c r="O181" i="20"/>
  <c r="D227" i="20" s="1"/>
  <c r="I181" i="20"/>
  <c r="J182" i="20"/>
  <c r="O182" i="20"/>
  <c r="D228" i="20" s="1"/>
  <c r="AZ133" i="20"/>
  <c r="CH137" i="20"/>
  <c r="BQ141" i="20"/>
  <c r="K181" i="20"/>
  <c r="F181" i="20"/>
  <c r="G182" i="20"/>
  <c r="S181" i="20"/>
  <c r="R181" i="20"/>
  <c r="M182" i="20"/>
  <c r="I182" i="20"/>
  <c r="P182" i="20"/>
  <c r="AZ142" i="20"/>
  <c r="CD132" i="20"/>
  <c r="Q181" i="20"/>
  <c r="N181" i="20"/>
  <c r="K182" i="20"/>
  <c r="E181" i="20"/>
  <c r="T182" i="20"/>
  <c r="AD121" i="20"/>
  <c r="AG121" i="20"/>
  <c r="AI121" i="20" s="1"/>
  <c r="CC106" i="20"/>
  <c r="CC113" i="20"/>
  <c r="CH113" i="20"/>
  <c r="BL107" i="20"/>
  <c r="BO107" i="20"/>
  <c r="BQ107" i="20" s="1"/>
  <c r="M124" i="20"/>
  <c r="P124" i="20"/>
  <c r="R124" i="20" s="1"/>
  <c r="BQ130" i="20"/>
  <c r="AX116" i="20"/>
  <c r="AZ116" i="20" s="1"/>
  <c r="AU116" i="20"/>
  <c r="BL121" i="20"/>
  <c r="BO121" i="20"/>
  <c r="BQ121" i="20" s="1"/>
  <c r="AD108" i="20"/>
  <c r="AG108" i="20"/>
  <c r="AI108" i="20" s="1"/>
  <c r="BO119" i="20"/>
  <c r="BQ119" i="20" s="1"/>
  <c r="BL119" i="20"/>
  <c r="BQ140" i="20"/>
  <c r="CH134" i="20"/>
  <c r="BO120" i="20"/>
  <c r="BQ120" i="20" s="1"/>
  <c r="BL120" i="20"/>
  <c r="AZ115" i="20"/>
  <c r="AT106" i="20"/>
  <c r="AW106" i="20"/>
  <c r="AZ139" i="20"/>
  <c r="BL113" i="20"/>
  <c r="BO113" i="20"/>
  <c r="BQ113" i="20" s="1"/>
  <c r="M117" i="20"/>
  <c r="P117" i="20"/>
  <c r="R117" i="20" s="1"/>
  <c r="BL114" i="20"/>
  <c r="BO114" i="20"/>
  <c r="BQ114" i="20" s="1"/>
  <c r="CH110" i="20"/>
  <c r="CC110" i="20"/>
  <c r="AU107" i="20"/>
  <c r="AX107" i="20"/>
  <c r="AZ107" i="20" s="1"/>
  <c r="AD120" i="20"/>
  <c r="AG120" i="20"/>
  <c r="AI120" i="20" s="1"/>
  <c r="AD114" i="20"/>
  <c r="AG114" i="20"/>
  <c r="AI114" i="20" s="1"/>
  <c r="AX110" i="20"/>
  <c r="AZ110" i="20" s="1"/>
  <c r="AU110" i="20"/>
  <c r="BQ132" i="20"/>
  <c r="AX124" i="20"/>
  <c r="AZ124" i="20" s="1"/>
  <c r="AU124" i="20"/>
  <c r="BL116" i="20"/>
  <c r="BO116" i="20"/>
  <c r="BQ116" i="20" s="1"/>
  <c r="M112" i="20"/>
  <c r="P112" i="20"/>
  <c r="R112" i="20" s="1"/>
  <c r="AU121" i="20"/>
  <c r="AX121" i="20"/>
  <c r="AZ121" i="20" s="1"/>
  <c r="AX108" i="20"/>
  <c r="AZ108" i="20" s="1"/>
  <c r="AU108" i="20"/>
  <c r="CH119" i="20"/>
  <c r="CC119" i="20"/>
  <c r="AU120" i="20"/>
  <c r="AX120" i="20"/>
  <c r="AZ120" i="20" s="1"/>
  <c r="L106" i="20"/>
  <c r="O106" i="20"/>
  <c r="CH141" i="20"/>
  <c r="AD117" i="20"/>
  <c r="AG117" i="20"/>
  <c r="AI117" i="20" s="1"/>
  <c r="CC114" i="20"/>
  <c r="CH114" i="20"/>
  <c r="BO110" i="20"/>
  <c r="BQ110" i="20" s="1"/>
  <c r="BL110" i="20"/>
  <c r="M108" i="20"/>
  <c r="P108" i="20"/>
  <c r="R108" i="20" s="1"/>
  <c r="AD119" i="20"/>
  <c r="AG119" i="20"/>
  <c r="AI119" i="20" s="1"/>
  <c r="AD124" i="20"/>
  <c r="AG124" i="20"/>
  <c r="AI124" i="20" s="1"/>
  <c r="M123" i="20"/>
  <c r="P123" i="20"/>
  <c r="R123" i="20" s="1"/>
  <c r="BQ143" i="20"/>
  <c r="AZ111" i="20"/>
  <c r="AZ132" i="20"/>
  <c r="AZ141" i="20"/>
  <c r="CH116" i="20"/>
  <c r="CC116" i="20"/>
  <c r="AZ137" i="20"/>
  <c r="BQ138" i="20"/>
  <c r="AD112" i="20"/>
  <c r="AG112" i="20"/>
  <c r="AI112" i="20" s="1"/>
  <c r="CC121" i="20"/>
  <c r="CH121" i="20"/>
  <c r="CH140" i="20"/>
  <c r="CH108" i="20"/>
  <c r="CC108" i="20"/>
  <c r="M109" i="20"/>
  <c r="P109" i="20"/>
  <c r="R109" i="20" s="1"/>
  <c r="CH120" i="20"/>
  <c r="CC120" i="20"/>
  <c r="BQ133" i="20"/>
  <c r="AC106" i="20"/>
  <c r="AF106" i="20"/>
  <c r="M125" i="20"/>
  <c r="P125" i="20"/>
  <c r="R125" i="20" s="1"/>
  <c r="AU117" i="20"/>
  <c r="AX117" i="20"/>
  <c r="AZ117" i="20" s="1"/>
  <c r="M122" i="20"/>
  <c r="P122" i="20"/>
  <c r="R122" i="20" s="1"/>
  <c r="BL124" i="20"/>
  <c r="BO124" i="20"/>
  <c r="BQ124" i="20" s="1"/>
  <c r="AG123" i="20"/>
  <c r="AI123" i="20" s="1"/>
  <c r="AD123" i="20"/>
  <c r="AX112" i="20"/>
  <c r="AZ112" i="20" s="1"/>
  <c r="AU112" i="20"/>
  <c r="BL108" i="20"/>
  <c r="BO108" i="20"/>
  <c r="BQ108" i="20" s="1"/>
  <c r="AD109" i="20"/>
  <c r="AG109" i="20"/>
  <c r="AI109" i="20" s="1"/>
  <c r="BQ129" i="20"/>
  <c r="M106" i="20"/>
  <c r="P106" i="20"/>
  <c r="CB106" i="20"/>
  <c r="CE106" i="20"/>
  <c r="AD125" i="20"/>
  <c r="AG125" i="20"/>
  <c r="AI125" i="20" s="1"/>
  <c r="CC117" i="20"/>
  <c r="CH117" i="20"/>
  <c r="CC126" i="20"/>
  <c r="CB141" i="20"/>
  <c r="CD127" i="20"/>
  <c r="CB126" i="20"/>
  <c r="CD135" i="20"/>
  <c r="CB133" i="20"/>
  <c r="CC127" i="20"/>
  <c r="CB127" i="20"/>
  <c r="CD143" i="20"/>
  <c r="CD126" i="20"/>
  <c r="CH126" i="20"/>
  <c r="CD142" i="20"/>
  <c r="CB128" i="20"/>
  <c r="CD113" i="20"/>
  <c r="CB144" i="20"/>
  <c r="CH127" i="20"/>
  <c r="CD115" i="20"/>
  <c r="CD138" i="20"/>
  <c r="CD117" i="20"/>
  <c r="CB130" i="20"/>
  <c r="CD134" i="20"/>
  <c r="CD123" i="20"/>
  <c r="CB136" i="20"/>
  <c r="CD109" i="20"/>
  <c r="CD136" i="20"/>
  <c r="CD121" i="20"/>
  <c r="CH133" i="20"/>
  <c r="AD122" i="20"/>
  <c r="AG122" i="20"/>
  <c r="AI122" i="20" s="1"/>
  <c r="M107" i="20"/>
  <c r="P107" i="20"/>
  <c r="R107" i="20" s="1"/>
  <c r="CH124" i="20"/>
  <c r="CC124" i="20"/>
  <c r="BL123" i="20"/>
  <c r="BO123" i="20"/>
  <c r="BQ123" i="20" s="1"/>
  <c r="BL112" i="20"/>
  <c r="BO112" i="20"/>
  <c r="BQ112" i="20" s="1"/>
  <c r="AU109" i="20"/>
  <c r="AX109" i="20"/>
  <c r="AZ109" i="20" s="1"/>
  <c r="AU106" i="20"/>
  <c r="AX106" i="20"/>
  <c r="BK106" i="20"/>
  <c r="BN106" i="20"/>
  <c r="AU125" i="20"/>
  <c r="AX125" i="20"/>
  <c r="AZ125" i="20" s="1"/>
  <c r="M113" i="20"/>
  <c r="P113" i="20"/>
  <c r="R113" i="20" s="1"/>
  <c r="BO117" i="20"/>
  <c r="BQ117" i="20" s="1"/>
  <c r="BL117" i="20"/>
  <c r="CD108" i="20"/>
  <c r="AZ129" i="20"/>
  <c r="AX122" i="20"/>
  <c r="AZ122" i="20" s="1"/>
  <c r="AU122" i="20"/>
  <c r="AD116" i="20"/>
  <c r="AG116" i="20"/>
  <c r="AI116" i="20" s="1"/>
  <c r="AG107" i="20"/>
  <c r="AI107" i="20" s="1"/>
  <c r="AD107" i="20"/>
  <c r="AX123" i="20"/>
  <c r="AZ123" i="20" s="1"/>
  <c r="AU123" i="20"/>
  <c r="CC112" i="20"/>
  <c r="CH112" i="20"/>
  <c r="AX119" i="20"/>
  <c r="AZ119" i="20" s="1"/>
  <c r="AU119" i="20"/>
  <c r="CC109" i="20"/>
  <c r="CH109" i="20"/>
  <c r="AD106" i="20"/>
  <c r="AG106" i="20"/>
  <c r="CH131" i="20"/>
  <c r="BO125" i="20"/>
  <c r="BQ125" i="20" s="1"/>
  <c r="BL125" i="20"/>
  <c r="AD113" i="20"/>
  <c r="AG113" i="20"/>
  <c r="AI113" i="20" s="1"/>
  <c r="CD122" i="20"/>
  <c r="CB120" i="20"/>
  <c r="M114" i="20"/>
  <c r="P114" i="20"/>
  <c r="R114" i="20" s="1"/>
  <c r="E169" i="20" s="1"/>
  <c r="AZ128" i="20"/>
  <c r="AD110" i="20"/>
  <c r="AG110" i="20"/>
  <c r="AI110" i="20" s="1"/>
  <c r="BL122" i="20"/>
  <c r="BO122" i="20"/>
  <c r="BQ122" i="20" s="1"/>
  <c r="CH132" i="20"/>
  <c r="CC107" i="20"/>
  <c r="CC123" i="20"/>
  <c r="CH123" i="20"/>
  <c r="M116" i="20"/>
  <c r="P116" i="20"/>
  <c r="R116" i="20" s="1"/>
  <c r="M121" i="20"/>
  <c r="P121" i="20"/>
  <c r="R121" i="20" s="1"/>
  <c r="M119" i="20"/>
  <c r="P119" i="20"/>
  <c r="R119" i="20" s="1"/>
  <c r="BO109" i="20"/>
  <c r="BQ109" i="20" s="1"/>
  <c r="BL109" i="20"/>
  <c r="BQ128" i="20"/>
  <c r="M120" i="20"/>
  <c r="P120" i="20"/>
  <c r="R120" i="20" s="1"/>
  <c r="BL106" i="20"/>
  <c r="BO106" i="20"/>
  <c r="AZ140" i="20"/>
  <c r="BQ137" i="20"/>
  <c r="CC125" i="20"/>
  <c r="CH125" i="20"/>
  <c r="AU113" i="20"/>
  <c r="AX113" i="20"/>
  <c r="AZ113" i="20" s="1"/>
  <c r="AU114" i="20"/>
  <c r="AX114" i="20"/>
  <c r="AZ114" i="20" s="1"/>
  <c r="M110" i="20"/>
  <c r="P110" i="20"/>
  <c r="R110" i="20" s="1"/>
  <c r="CH122" i="20"/>
  <c r="CC122" i="20"/>
  <c r="BJ199" i="20" l="1"/>
  <c r="BD199" i="20"/>
  <c r="BF191" i="20"/>
  <c r="BL199" i="20"/>
  <c r="BI182" i="20"/>
  <c r="CD144" i="20"/>
  <c r="BS182" i="20"/>
  <c r="BH191" i="20"/>
  <c r="BL182" i="20"/>
  <c r="BO191" i="20"/>
  <c r="BE191" i="20"/>
  <c r="BJ182" i="20"/>
  <c r="BO182" i="20"/>
  <c r="BP191" i="20"/>
  <c r="BK191" i="20"/>
  <c r="L182" i="20"/>
  <c r="F182" i="20"/>
  <c r="BF182" i="20"/>
  <c r="BI191" i="20"/>
  <c r="BE182" i="20"/>
  <c r="E182" i="20"/>
  <c r="BR199" i="20"/>
  <c r="BL191" i="20"/>
  <c r="Q182" i="20"/>
  <c r="BM199" i="20"/>
  <c r="BH199" i="20"/>
  <c r="BF199" i="20"/>
  <c r="BO199" i="20"/>
  <c r="BN199" i="20"/>
  <c r="G245" i="20" s="1"/>
  <c r="BK199" i="20"/>
  <c r="BG199" i="20"/>
  <c r="BI199" i="20"/>
  <c r="BQ199" i="20"/>
  <c r="BE199" i="20"/>
  <c r="BP199" i="20"/>
  <c r="BN200" i="20"/>
  <c r="G246" i="20" s="1"/>
  <c r="BR200" i="20"/>
  <c r="BK200" i="20"/>
  <c r="BS181" i="20"/>
  <c r="BP181" i="20"/>
  <c r="BI200" i="20"/>
  <c r="BH182" i="20"/>
  <c r="BN182" i="20"/>
  <c r="G228" i="20" s="1"/>
  <c r="BM181" i="20"/>
  <c r="BG200" i="20"/>
  <c r="BP200" i="20"/>
  <c r="BL181" i="20"/>
  <c r="BE200" i="20"/>
  <c r="BR182" i="20"/>
  <c r="BK181" i="20"/>
  <c r="BD181" i="20"/>
  <c r="BD200" i="20"/>
  <c r="CG145" i="20"/>
  <c r="CH145" i="20" s="1"/>
  <c r="BW200" i="20" s="1"/>
  <c r="BJ181" i="20"/>
  <c r="BQ182" i="20"/>
  <c r="BR181" i="20"/>
  <c r="BF181" i="20"/>
  <c r="BH200" i="20"/>
  <c r="BL200" i="20"/>
  <c r="BP182" i="20"/>
  <c r="BH181" i="20"/>
  <c r="CA144" i="20"/>
  <c r="BV199" i="20" s="1"/>
  <c r="BE181" i="20"/>
  <c r="BS200" i="20"/>
  <c r="BK182" i="20"/>
  <c r="BQ181" i="20"/>
  <c r="BQ200" i="20"/>
  <c r="BG182" i="20"/>
  <c r="BN181" i="20"/>
  <c r="G227" i="20" s="1"/>
  <c r="BM182" i="20"/>
  <c r="BI181" i="20"/>
  <c r="BF200" i="20"/>
  <c r="BM200" i="20"/>
  <c r="BO181" i="20"/>
  <c r="BJ200" i="20"/>
  <c r="CD145" i="20"/>
  <c r="CE200" i="20"/>
  <c r="H246" i="20" s="1"/>
  <c r="AU200" i="20"/>
  <c r="AO200" i="20"/>
  <c r="AS200" i="20"/>
  <c r="AT200" i="20"/>
  <c r="AW200" i="20"/>
  <c r="F246" i="20" s="1"/>
  <c r="BA200" i="20"/>
  <c r="AP200" i="20"/>
  <c r="AM200" i="20"/>
  <c r="V188" i="20"/>
  <c r="AT191" i="20"/>
  <c r="AQ200" i="20"/>
  <c r="AR200" i="20"/>
  <c r="AN200" i="20"/>
  <c r="AZ200" i="20"/>
  <c r="AV200" i="20"/>
  <c r="BB200" i="20"/>
  <c r="AX200" i="20"/>
  <c r="AY200" i="20"/>
  <c r="AC199" i="20"/>
  <c r="AD199" i="20"/>
  <c r="AD185" i="20"/>
  <c r="AF188" i="20"/>
  <c r="E234" i="20" s="1"/>
  <c r="Y188" i="20"/>
  <c r="AN191" i="20"/>
  <c r="AD188" i="20"/>
  <c r="W184" i="20"/>
  <c r="W194" i="20"/>
  <c r="AA184" i="20"/>
  <c r="AK185" i="20"/>
  <c r="Y185" i="20"/>
  <c r="AC194" i="20"/>
  <c r="AJ194" i="20"/>
  <c r="AB194" i="20"/>
  <c r="AK194" i="20"/>
  <c r="V194" i="20"/>
  <c r="AD194" i="20"/>
  <c r="AE194" i="20"/>
  <c r="X185" i="20"/>
  <c r="AB185" i="20"/>
  <c r="AH183" i="20"/>
  <c r="AS191" i="20"/>
  <c r="AH185" i="20"/>
  <c r="Z185" i="20"/>
  <c r="AI185" i="20"/>
  <c r="V185" i="20"/>
  <c r="AC185" i="20"/>
  <c r="AE185" i="20"/>
  <c r="W185" i="20"/>
  <c r="AF185" i="20"/>
  <c r="E231" i="20" s="1"/>
  <c r="AJ185" i="20"/>
  <c r="AA185" i="20"/>
  <c r="AB184" i="20"/>
  <c r="X184" i="20"/>
  <c r="AD184" i="20"/>
  <c r="AJ184" i="20"/>
  <c r="V184" i="20"/>
  <c r="Z184" i="20"/>
  <c r="AF184" i="20"/>
  <c r="E230" i="20" s="1"/>
  <c r="AH184" i="20"/>
  <c r="AC184" i="20"/>
  <c r="AI184" i="20"/>
  <c r="Y184" i="20"/>
  <c r="AK184" i="20"/>
  <c r="AE184" i="20"/>
  <c r="AJ183" i="20"/>
  <c r="AU182" i="20"/>
  <c r="AF183" i="20"/>
  <c r="E229" i="20" s="1"/>
  <c r="AC183" i="20"/>
  <c r="AU191" i="20"/>
  <c r="AI183" i="20"/>
  <c r="Z183" i="20"/>
  <c r="BA191" i="20"/>
  <c r="AK183" i="20"/>
  <c r="AW191" i="20"/>
  <c r="F237" i="20" s="1"/>
  <c r="AZ191" i="20"/>
  <c r="AY191" i="20"/>
  <c r="AX191" i="20"/>
  <c r="W183" i="20"/>
  <c r="X183" i="20"/>
  <c r="AD189" i="20"/>
  <c r="V183" i="20"/>
  <c r="AE183" i="20"/>
  <c r="AV191" i="20"/>
  <c r="AQ191" i="20"/>
  <c r="AP191" i="20"/>
  <c r="BB191" i="20"/>
  <c r="AA183" i="20"/>
  <c r="AB183" i="20"/>
  <c r="Y183" i="20"/>
  <c r="AR191" i="20"/>
  <c r="AM191" i="20"/>
  <c r="AO191" i="20"/>
  <c r="AD183" i="20"/>
  <c r="AR199" i="20"/>
  <c r="AC195" i="20"/>
  <c r="AC186" i="20"/>
  <c r="AI186" i="20"/>
  <c r="AD195" i="20"/>
  <c r="AB195" i="20"/>
  <c r="AU181" i="20"/>
  <c r="AV182" i="20"/>
  <c r="X189" i="20"/>
  <c r="Y187" i="20"/>
  <c r="AS182" i="20"/>
  <c r="BA182" i="20"/>
  <c r="Z189" i="20"/>
  <c r="AA186" i="20"/>
  <c r="AJ186" i="20"/>
  <c r="AV199" i="20"/>
  <c r="AP182" i="20"/>
  <c r="X187" i="20"/>
  <c r="AE195" i="20"/>
  <c r="AJ189" i="20"/>
  <c r="AB186" i="20"/>
  <c r="AK186" i="20"/>
  <c r="AI168" i="20"/>
  <c r="AK168" i="20"/>
  <c r="AC168" i="20"/>
  <c r="Z168" i="20"/>
  <c r="W168" i="20"/>
  <c r="AG167" i="20"/>
  <c r="W167" i="20"/>
  <c r="Z167" i="20"/>
  <c r="AI167" i="20"/>
  <c r="Y167" i="20"/>
  <c r="AF167" i="20"/>
  <c r="E213" i="20" s="1"/>
  <c r="AJ167" i="20"/>
  <c r="AH167" i="20"/>
  <c r="X167" i="20"/>
  <c r="AD167" i="20"/>
  <c r="AC167" i="20"/>
  <c r="AB167" i="20"/>
  <c r="AA167" i="20"/>
  <c r="V167" i="20"/>
  <c r="AE167" i="20"/>
  <c r="AK167" i="20"/>
  <c r="AF166" i="20"/>
  <c r="X166" i="20"/>
  <c r="AD166" i="20"/>
  <c r="AG166" i="20"/>
  <c r="Y166" i="20"/>
  <c r="AA166" i="20"/>
  <c r="AE166" i="20"/>
  <c r="AH166" i="20"/>
  <c r="AJ166" i="20"/>
  <c r="AK166" i="20"/>
  <c r="AC166" i="20"/>
  <c r="Z166" i="20"/>
  <c r="V166" i="20"/>
  <c r="AI166" i="20"/>
  <c r="W166" i="20"/>
  <c r="AB166" i="20"/>
  <c r="Y168" i="20"/>
  <c r="X168" i="20"/>
  <c r="AH168" i="20"/>
  <c r="AA168" i="20"/>
  <c r="AD168" i="20"/>
  <c r="V168" i="20"/>
  <c r="AG168" i="20"/>
  <c r="AE168" i="20"/>
  <c r="AF168" i="20"/>
  <c r="E214" i="20" s="1"/>
  <c r="AJ168" i="20"/>
  <c r="AB168" i="20"/>
  <c r="AS199" i="20"/>
  <c r="V187" i="20"/>
  <c r="AG187" i="20"/>
  <c r="AO199" i="20"/>
  <c r="AU199" i="20"/>
  <c r="AK199" i="20"/>
  <c r="AF199" i="20"/>
  <c r="E245" i="20" s="1"/>
  <c r="AT181" i="20"/>
  <c r="AZ182" i="20"/>
  <c r="V186" i="20"/>
  <c r="AQ182" i="20"/>
  <c r="AR182" i="20"/>
  <c r="AN182" i="20"/>
  <c r="AK195" i="20"/>
  <c r="AE189" i="20"/>
  <c r="AA194" i="20"/>
  <c r="AI194" i="20"/>
  <c r="Z186" i="20"/>
  <c r="AH186" i="20"/>
  <c r="AW182" i="20"/>
  <c r="F228" i="20" s="1"/>
  <c r="AM182" i="20"/>
  <c r="AF195" i="20"/>
  <c r="E241" i="20" s="1"/>
  <c r="AB189" i="20"/>
  <c r="X194" i="20"/>
  <c r="AF194" i="20"/>
  <c r="E240" i="20" s="1"/>
  <c r="W186" i="20"/>
  <c r="AE186" i="20"/>
  <c r="AT182" i="20"/>
  <c r="AI195" i="20"/>
  <c r="AA189" i="20"/>
  <c r="Y194" i="20"/>
  <c r="AG194" i="20"/>
  <c r="X186" i="20"/>
  <c r="AF186" i="20"/>
  <c r="E232" i="20" s="1"/>
  <c r="AD186" i="20"/>
  <c r="AO182" i="20"/>
  <c r="AX182" i="20"/>
  <c r="AY182" i="20"/>
  <c r="W195" i="20"/>
  <c r="AC189" i="20"/>
  <c r="Z194" i="20"/>
  <c r="Y186" i="20"/>
  <c r="BB182" i="20"/>
  <c r="BB181" i="20"/>
  <c r="AT199" i="20"/>
  <c r="AI188" i="20"/>
  <c r="Z195" i="20"/>
  <c r="AA195" i="20"/>
  <c r="AY199" i="20"/>
  <c r="AE188" i="20"/>
  <c r="AM181" i="20"/>
  <c r="V195" i="20"/>
  <c r="AG195" i="20"/>
  <c r="AN181" i="20"/>
  <c r="BA199" i="20"/>
  <c r="AJ188" i="20"/>
  <c r="AE191" i="20"/>
  <c r="X195" i="20"/>
  <c r="AJ195" i="20"/>
  <c r="V196" i="20"/>
  <c r="AM199" i="20"/>
  <c r="AH188" i="20"/>
  <c r="Y195" i="20"/>
  <c r="AC196" i="20"/>
  <c r="BN196" i="20"/>
  <c r="G242" i="20" s="1"/>
  <c r="BD196" i="20"/>
  <c r="BL196" i="20"/>
  <c r="BE196" i="20"/>
  <c r="BM196" i="20"/>
  <c r="BF196" i="20"/>
  <c r="BG196" i="20"/>
  <c r="BR196" i="20"/>
  <c r="BJ196" i="20"/>
  <c r="BK196" i="20"/>
  <c r="BH196" i="20"/>
  <c r="BS196" i="20"/>
  <c r="BI196" i="20"/>
  <c r="BQ196" i="20"/>
  <c r="BO196" i="20"/>
  <c r="BP196" i="20"/>
  <c r="AD196" i="20"/>
  <c r="Z196" i="20"/>
  <c r="AE196" i="20"/>
  <c r="BF189" i="20"/>
  <c r="BN189" i="20"/>
  <c r="G235" i="20" s="1"/>
  <c r="BD189" i="20"/>
  <c r="BL189" i="20"/>
  <c r="BE189" i="20"/>
  <c r="BM189" i="20"/>
  <c r="BP189" i="20"/>
  <c r="BG189" i="20"/>
  <c r="BS189" i="20"/>
  <c r="BI189" i="20"/>
  <c r="BQ189" i="20"/>
  <c r="BR189" i="20"/>
  <c r="BH189" i="20"/>
  <c r="BO189" i="20"/>
  <c r="BJ189" i="20"/>
  <c r="BK189" i="20"/>
  <c r="W191" i="20"/>
  <c r="BF184" i="20"/>
  <c r="BN184" i="20"/>
  <c r="G230" i="20" s="1"/>
  <c r="BD184" i="20"/>
  <c r="BL184" i="20"/>
  <c r="BE184" i="20"/>
  <c r="BM184" i="20"/>
  <c r="BG184" i="20"/>
  <c r="BR184" i="20"/>
  <c r="BI184" i="20"/>
  <c r="BJ184" i="20"/>
  <c r="BK184" i="20"/>
  <c r="BH184" i="20"/>
  <c r="BS184" i="20"/>
  <c r="BQ184" i="20"/>
  <c r="BP184" i="20"/>
  <c r="BO184" i="20"/>
  <c r="BF193" i="20"/>
  <c r="BN193" i="20"/>
  <c r="G239" i="20" s="1"/>
  <c r="BD193" i="20"/>
  <c r="BL193" i="20"/>
  <c r="BE193" i="20"/>
  <c r="BM193" i="20"/>
  <c r="BP193" i="20"/>
  <c r="BG193" i="20"/>
  <c r="BS193" i="20"/>
  <c r="BI193" i="20"/>
  <c r="BQ193" i="20"/>
  <c r="BR193" i="20"/>
  <c r="BO193" i="20"/>
  <c r="BH193" i="20"/>
  <c r="BJ193" i="20"/>
  <c r="BK193" i="20"/>
  <c r="BM198" i="20"/>
  <c r="BF198" i="20"/>
  <c r="BD198" i="20"/>
  <c r="BL198" i="20"/>
  <c r="BE198" i="20"/>
  <c r="BN198" i="20"/>
  <c r="G244" i="20" s="1"/>
  <c r="BK198" i="20"/>
  <c r="BG198" i="20"/>
  <c r="BR198" i="20"/>
  <c r="BO198" i="20"/>
  <c r="BP198" i="20"/>
  <c r="BJ198" i="20"/>
  <c r="BQ198" i="20"/>
  <c r="BH198" i="20"/>
  <c r="BS198" i="20"/>
  <c r="BI198" i="20"/>
  <c r="BF190" i="20"/>
  <c r="BN190" i="20"/>
  <c r="G236" i="20" s="1"/>
  <c r="BD190" i="20"/>
  <c r="BL190" i="20"/>
  <c r="BE190" i="20"/>
  <c r="BM190" i="20"/>
  <c r="BK190" i="20"/>
  <c r="BG190" i="20"/>
  <c r="BR190" i="20"/>
  <c r="BO190" i="20"/>
  <c r="BQ190" i="20"/>
  <c r="BP190" i="20"/>
  <c r="BJ190" i="20"/>
  <c r="BH190" i="20"/>
  <c r="BI190" i="20"/>
  <c r="BS190" i="20"/>
  <c r="BE197" i="20"/>
  <c r="BN197" i="20"/>
  <c r="G243" i="20" s="1"/>
  <c r="BD197" i="20"/>
  <c r="BL197" i="20"/>
  <c r="BM197" i="20"/>
  <c r="BF197" i="20"/>
  <c r="BP197" i="20"/>
  <c r="BG197" i="20"/>
  <c r="BS197" i="20"/>
  <c r="BI197" i="20"/>
  <c r="BQ197" i="20"/>
  <c r="BR197" i="20"/>
  <c r="BH197" i="20"/>
  <c r="BO197" i="20"/>
  <c r="BK197" i="20"/>
  <c r="BJ197" i="20"/>
  <c r="AN199" i="20"/>
  <c r="AQ199" i="20"/>
  <c r="X188" i="20"/>
  <c r="AK188" i="20"/>
  <c r="AA187" i="20"/>
  <c r="AX181" i="20"/>
  <c r="AI189" i="20"/>
  <c r="Y189" i="20"/>
  <c r="AF196" i="20"/>
  <c r="E242" i="20" s="1"/>
  <c r="AG196" i="20"/>
  <c r="BF187" i="20"/>
  <c r="BN187" i="20"/>
  <c r="G233" i="20" s="1"/>
  <c r="BD187" i="20"/>
  <c r="BL187" i="20"/>
  <c r="BE187" i="20"/>
  <c r="BM187" i="20"/>
  <c r="BI187" i="20"/>
  <c r="BK187" i="20"/>
  <c r="BP187" i="20"/>
  <c r="BJ187" i="20"/>
  <c r="BO187" i="20"/>
  <c r="BH187" i="20"/>
  <c r="BS187" i="20"/>
  <c r="BG187" i="20"/>
  <c r="BR187" i="20"/>
  <c r="BQ187" i="20"/>
  <c r="BE185" i="20"/>
  <c r="BF185" i="20"/>
  <c r="BN185" i="20"/>
  <c r="G231" i="20" s="1"/>
  <c r="BD185" i="20"/>
  <c r="BL185" i="20"/>
  <c r="BM185" i="20"/>
  <c r="BP185" i="20"/>
  <c r="BG185" i="20"/>
  <c r="BH185" i="20"/>
  <c r="BI185" i="20"/>
  <c r="BQ185" i="20"/>
  <c r="BS185" i="20"/>
  <c r="BR185" i="20"/>
  <c r="BO185" i="20"/>
  <c r="BJ185" i="20"/>
  <c r="BK185" i="20"/>
  <c r="AX199" i="20"/>
  <c r="AW199" i="20"/>
  <c r="F245" i="20" s="1"/>
  <c r="W188" i="20"/>
  <c r="AA188" i="20"/>
  <c r="AB187" i="20"/>
  <c r="W189" i="20"/>
  <c r="AF189" i="20"/>
  <c r="E235" i="20" s="1"/>
  <c r="Y196" i="20"/>
  <c r="AJ196" i="20"/>
  <c r="BF183" i="20"/>
  <c r="BN183" i="20"/>
  <c r="G229" i="20" s="1"/>
  <c r="BD183" i="20"/>
  <c r="BL183" i="20"/>
  <c r="BE183" i="20"/>
  <c r="BM183" i="20"/>
  <c r="BI183" i="20"/>
  <c r="BK183" i="20"/>
  <c r="BP183" i="20"/>
  <c r="BJ183" i="20"/>
  <c r="BO183" i="20"/>
  <c r="BH183" i="20"/>
  <c r="BS183" i="20"/>
  <c r="BQ183" i="20"/>
  <c r="BR183" i="20"/>
  <c r="BG183" i="20"/>
  <c r="BF192" i="20"/>
  <c r="BD192" i="20"/>
  <c r="BL192" i="20"/>
  <c r="BE192" i="20"/>
  <c r="BM192" i="20"/>
  <c r="BN192" i="20"/>
  <c r="G238" i="20" s="1"/>
  <c r="BG192" i="20"/>
  <c r="BR192" i="20"/>
  <c r="BK192" i="20"/>
  <c r="BH192" i="20"/>
  <c r="BS192" i="20"/>
  <c r="BJ192" i="20"/>
  <c r="BI192" i="20"/>
  <c r="BQ192" i="20"/>
  <c r="BO192" i="20"/>
  <c r="BP192" i="20"/>
  <c r="BM194" i="20"/>
  <c r="BF194" i="20"/>
  <c r="BN194" i="20"/>
  <c r="G240" i="20" s="1"/>
  <c r="BD194" i="20"/>
  <c r="BL194" i="20"/>
  <c r="BE194" i="20"/>
  <c r="BK194" i="20"/>
  <c r="BG194" i="20"/>
  <c r="BR194" i="20"/>
  <c r="BO194" i="20"/>
  <c r="BP194" i="20"/>
  <c r="BQ194" i="20"/>
  <c r="BJ194" i="20"/>
  <c r="BS194" i="20"/>
  <c r="BI194" i="20"/>
  <c r="BH194" i="20"/>
  <c r="BB199" i="20"/>
  <c r="AZ199" i="20"/>
  <c r="AG188" i="20"/>
  <c r="AB188" i="20"/>
  <c r="AI187" i="20"/>
  <c r="AC187" i="20"/>
  <c r="AG189" i="20"/>
  <c r="AH189" i="20"/>
  <c r="AQ181" i="20"/>
  <c r="AI196" i="20"/>
  <c r="BF188" i="20"/>
  <c r="BN188" i="20"/>
  <c r="G234" i="20" s="1"/>
  <c r="BD188" i="20"/>
  <c r="BL188" i="20"/>
  <c r="BE188" i="20"/>
  <c r="BM188" i="20"/>
  <c r="BG188" i="20"/>
  <c r="BR188" i="20"/>
  <c r="BJ188" i="20"/>
  <c r="BK188" i="20"/>
  <c r="BH188" i="20"/>
  <c r="BS188" i="20"/>
  <c r="BI188" i="20"/>
  <c r="BQ188" i="20"/>
  <c r="BO188" i="20"/>
  <c r="BP188" i="20"/>
  <c r="BN195" i="20"/>
  <c r="G241" i="20" s="1"/>
  <c r="BD195" i="20"/>
  <c r="BL195" i="20"/>
  <c r="BE195" i="20"/>
  <c r="BM195" i="20"/>
  <c r="BF195" i="20"/>
  <c r="BI195" i="20"/>
  <c r="BJ195" i="20"/>
  <c r="BK195" i="20"/>
  <c r="BP195" i="20"/>
  <c r="BO195" i="20"/>
  <c r="BH195" i="20"/>
  <c r="BS195" i="20"/>
  <c r="BQ195" i="20"/>
  <c r="BG195" i="20"/>
  <c r="BR195" i="20"/>
  <c r="BF186" i="20"/>
  <c r="BN186" i="20"/>
  <c r="G232" i="20" s="1"/>
  <c r="BD186" i="20"/>
  <c r="BL186" i="20"/>
  <c r="BE186" i="20"/>
  <c r="BM186" i="20"/>
  <c r="BK186" i="20"/>
  <c r="BP186" i="20"/>
  <c r="BQ186" i="20"/>
  <c r="BG186" i="20"/>
  <c r="BR186" i="20"/>
  <c r="BO186" i="20"/>
  <c r="BJ186" i="20"/>
  <c r="BH186" i="20"/>
  <c r="BS186" i="20"/>
  <c r="BI186" i="20"/>
  <c r="AP199" i="20"/>
  <c r="Z188" i="20"/>
  <c r="Z187" i="20"/>
  <c r="AE187" i="20"/>
  <c r="V189" i="20"/>
  <c r="X196" i="20"/>
  <c r="AK163" i="20"/>
  <c r="AC163" i="20"/>
  <c r="AH163" i="20"/>
  <c r="Z163" i="20"/>
  <c r="AG163" i="20"/>
  <c r="W163" i="20"/>
  <c r="AJ163" i="20"/>
  <c r="AB163" i="20"/>
  <c r="X163" i="20"/>
  <c r="AI163" i="20"/>
  <c r="AA163" i="20"/>
  <c r="Y163" i="20"/>
  <c r="AD163" i="20"/>
  <c r="V163" i="20"/>
  <c r="AF163" i="20"/>
  <c r="AE163" i="20"/>
  <c r="BF169" i="20"/>
  <c r="BN169" i="20"/>
  <c r="G215" i="20" s="1"/>
  <c r="BG169" i="20"/>
  <c r="BO169" i="20"/>
  <c r="BJ169" i="20"/>
  <c r="BH169" i="20"/>
  <c r="BP169" i="20"/>
  <c r="BK169" i="20"/>
  <c r="BI169" i="20"/>
  <c r="BQ169" i="20"/>
  <c r="BR169" i="20"/>
  <c r="BS169" i="20"/>
  <c r="BD169" i="20"/>
  <c r="BL169" i="20"/>
  <c r="BE169" i="20"/>
  <c r="BM169" i="20"/>
  <c r="BF177" i="20"/>
  <c r="BN177" i="20"/>
  <c r="G223" i="20" s="1"/>
  <c r="BG177" i="20"/>
  <c r="BO177" i="20"/>
  <c r="BH177" i="20"/>
  <c r="BP177" i="20"/>
  <c r="BJ177" i="20"/>
  <c r="BI177" i="20"/>
  <c r="BQ177" i="20"/>
  <c r="BR177" i="20"/>
  <c r="BS177" i="20"/>
  <c r="BD177" i="20"/>
  <c r="BL177" i="20"/>
  <c r="BE177" i="20"/>
  <c r="BM177" i="20"/>
  <c r="BK177" i="20"/>
  <c r="BF168" i="20"/>
  <c r="BN168" i="20"/>
  <c r="G214" i="20" s="1"/>
  <c r="BG168" i="20"/>
  <c r="BO168" i="20"/>
  <c r="BS168" i="20"/>
  <c r="BH168" i="20"/>
  <c r="BP168" i="20"/>
  <c r="BR168" i="20"/>
  <c r="BI168" i="20"/>
  <c r="BQ168" i="20"/>
  <c r="BJ168" i="20"/>
  <c r="BD168" i="20"/>
  <c r="BL168" i="20"/>
  <c r="BE168" i="20"/>
  <c r="BM168" i="20"/>
  <c r="BK168" i="20"/>
  <c r="BF178" i="20"/>
  <c r="BN178" i="20"/>
  <c r="G224" i="20" s="1"/>
  <c r="BJ178" i="20"/>
  <c r="BK178" i="20"/>
  <c r="BG178" i="20"/>
  <c r="BO178" i="20"/>
  <c r="BS178" i="20"/>
  <c r="BH178" i="20"/>
  <c r="BP178" i="20"/>
  <c r="BI178" i="20"/>
  <c r="BQ178" i="20"/>
  <c r="BR178" i="20"/>
  <c r="BD178" i="20"/>
  <c r="BL178" i="20"/>
  <c r="BE178" i="20"/>
  <c r="BM178" i="20"/>
  <c r="BF179" i="20"/>
  <c r="BN179" i="20"/>
  <c r="G225" i="20" s="1"/>
  <c r="BG179" i="20"/>
  <c r="BO179" i="20"/>
  <c r="BI179" i="20"/>
  <c r="BR179" i="20"/>
  <c r="BH179" i="20"/>
  <c r="BP179" i="20"/>
  <c r="BQ179" i="20"/>
  <c r="BJ179" i="20"/>
  <c r="BK179" i="20"/>
  <c r="BD179" i="20"/>
  <c r="BL179" i="20"/>
  <c r="BE179" i="20"/>
  <c r="BM179" i="20"/>
  <c r="BS179" i="20"/>
  <c r="BF173" i="20"/>
  <c r="BN173" i="20"/>
  <c r="G219" i="20" s="1"/>
  <c r="BG173" i="20"/>
  <c r="BO173" i="20"/>
  <c r="BH173" i="20"/>
  <c r="BP173" i="20"/>
  <c r="BJ173" i="20"/>
  <c r="BI173" i="20"/>
  <c r="BQ173" i="20"/>
  <c r="BR173" i="20"/>
  <c r="BK173" i="20"/>
  <c r="BS173" i="20"/>
  <c r="BD173" i="20"/>
  <c r="BL173" i="20"/>
  <c r="BE173" i="20"/>
  <c r="BM173" i="20"/>
  <c r="BF180" i="20"/>
  <c r="BN180" i="20"/>
  <c r="G226" i="20" s="1"/>
  <c r="BI180" i="20"/>
  <c r="BG180" i="20"/>
  <c r="BO180" i="20"/>
  <c r="BH180" i="20"/>
  <c r="BP180" i="20"/>
  <c r="BS180" i="20"/>
  <c r="BQ180" i="20"/>
  <c r="BR180" i="20"/>
  <c r="BJ180" i="20"/>
  <c r="BD180" i="20"/>
  <c r="BL180" i="20"/>
  <c r="BE180" i="20"/>
  <c r="BM180" i="20"/>
  <c r="BK180" i="20"/>
  <c r="BF163" i="20"/>
  <c r="BN163" i="20"/>
  <c r="G209" i="20" s="1"/>
  <c r="BG163" i="20"/>
  <c r="BO163" i="20"/>
  <c r="BH163" i="20"/>
  <c r="BP163" i="20"/>
  <c r="BI163" i="20"/>
  <c r="BQ163" i="20"/>
  <c r="BJ163" i="20"/>
  <c r="BR163" i="20"/>
  <c r="BK163" i="20"/>
  <c r="BS163" i="20"/>
  <c r="BD163" i="20"/>
  <c r="BL163" i="20"/>
  <c r="BE163" i="20"/>
  <c r="BM163" i="20"/>
  <c r="BF172" i="20"/>
  <c r="BN172" i="20"/>
  <c r="G218" i="20" s="1"/>
  <c r="BG172" i="20"/>
  <c r="BO172" i="20"/>
  <c r="BR172" i="20"/>
  <c r="BH172" i="20"/>
  <c r="BP172" i="20"/>
  <c r="BI172" i="20"/>
  <c r="BQ172" i="20"/>
  <c r="BJ172" i="20"/>
  <c r="BK172" i="20"/>
  <c r="BD172" i="20"/>
  <c r="BL172" i="20"/>
  <c r="BE172" i="20"/>
  <c r="BM172" i="20"/>
  <c r="BS172" i="20"/>
  <c r="BF174" i="20"/>
  <c r="BN174" i="20"/>
  <c r="G220" i="20" s="1"/>
  <c r="BJ174" i="20"/>
  <c r="BG174" i="20"/>
  <c r="BO174" i="20"/>
  <c r="BR174" i="20"/>
  <c r="BH174" i="20"/>
  <c r="BP174" i="20"/>
  <c r="BI174" i="20"/>
  <c r="BQ174" i="20"/>
  <c r="BS174" i="20"/>
  <c r="BK174" i="20"/>
  <c r="BD174" i="20"/>
  <c r="BL174" i="20"/>
  <c r="BE174" i="20"/>
  <c r="BM174" i="20"/>
  <c r="BF171" i="20"/>
  <c r="BN171" i="20"/>
  <c r="G217" i="20" s="1"/>
  <c r="BG171" i="20"/>
  <c r="BO171" i="20"/>
  <c r="BJ171" i="20"/>
  <c r="BH171" i="20"/>
  <c r="BP171" i="20"/>
  <c r="BR171" i="20"/>
  <c r="BI171" i="20"/>
  <c r="BQ171" i="20"/>
  <c r="BK171" i="20"/>
  <c r="BS171" i="20"/>
  <c r="BD171" i="20"/>
  <c r="BL171" i="20"/>
  <c r="BE171" i="20"/>
  <c r="BM171" i="20"/>
  <c r="BF167" i="20"/>
  <c r="BN167" i="20"/>
  <c r="G213" i="20" s="1"/>
  <c r="BS167" i="20"/>
  <c r="BG167" i="20"/>
  <c r="BO167" i="20"/>
  <c r="BH167" i="20"/>
  <c r="BP167" i="20"/>
  <c r="BI167" i="20"/>
  <c r="BQ167" i="20"/>
  <c r="BJ167" i="20"/>
  <c r="BR167" i="20"/>
  <c r="BK167" i="20"/>
  <c r="BD167" i="20"/>
  <c r="BL167" i="20"/>
  <c r="BE167" i="20"/>
  <c r="BM167" i="20"/>
  <c r="BF175" i="20"/>
  <c r="BN175" i="20"/>
  <c r="G221" i="20" s="1"/>
  <c r="BQ175" i="20"/>
  <c r="BG175" i="20"/>
  <c r="BO175" i="20"/>
  <c r="BH175" i="20"/>
  <c r="BP175" i="20"/>
  <c r="BI175" i="20"/>
  <c r="BJ175" i="20"/>
  <c r="BR175" i="20"/>
  <c r="BS175" i="20"/>
  <c r="BD175" i="20"/>
  <c r="BL175" i="20"/>
  <c r="BE175" i="20"/>
  <c r="BM175" i="20"/>
  <c r="BK175" i="20"/>
  <c r="BF176" i="20"/>
  <c r="BN176" i="20"/>
  <c r="G222" i="20" s="1"/>
  <c r="BJ176" i="20"/>
  <c r="BG176" i="20"/>
  <c r="BO176" i="20"/>
  <c r="BI176" i="20"/>
  <c r="BR176" i="20"/>
  <c r="BH176" i="20"/>
  <c r="BP176" i="20"/>
  <c r="BQ176" i="20"/>
  <c r="BK176" i="20"/>
  <c r="BS176" i="20"/>
  <c r="BD176" i="20"/>
  <c r="BL176" i="20"/>
  <c r="BE176" i="20"/>
  <c r="BM176" i="20"/>
  <c r="BF166" i="20"/>
  <c r="BN166" i="20"/>
  <c r="G212" i="20" s="1"/>
  <c r="BG166" i="20"/>
  <c r="BO166" i="20"/>
  <c r="BR166" i="20"/>
  <c r="BH166" i="20"/>
  <c r="BP166" i="20"/>
  <c r="BI166" i="20"/>
  <c r="BQ166" i="20"/>
  <c r="BS166" i="20"/>
  <c r="BJ166" i="20"/>
  <c r="BD166" i="20"/>
  <c r="BL166" i="20"/>
  <c r="BE166" i="20"/>
  <c r="BM166" i="20"/>
  <c r="BK166" i="20"/>
  <c r="BF170" i="20"/>
  <c r="BN170" i="20"/>
  <c r="G216" i="20" s="1"/>
  <c r="BJ170" i="20"/>
  <c r="BG170" i="20"/>
  <c r="BO170" i="20"/>
  <c r="BH170" i="20"/>
  <c r="BP170" i="20"/>
  <c r="BI170" i="20"/>
  <c r="BQ170" i="20"/>
  <c r="BR170" i="20"/>
  <c r="BK170" i="20"/>
  <c r="BD170" i="20"/>
  <c r="BL170" i="20"/>
  <c r="BE170" i="20"/>
  <c r="BM170" i="20"/>
  <c r="BS170" i="20"/>
  <c r="BD165" i="20"/>
  <c r="BL165" i="20"/>
  <c r="BG165" i="20"/>
  <c r="BJ165" i="20"/>
  <c r="BS165" i="20"/>
  <c r="BE165" i="20"/>
  <c r="BM165" i="20"/>
  <c r="BH165" i="20"/>
  <c r="BI165" i="20"/>
  <c r="BK165" i="20"/>
  <c r="BF165" i="20"/>
  <c r="BN165" i="20"/>
  <c r="G211" i="20" s="1"/>
  <c r="BO165" i="20"/>
  <c r="BP165" i="20"/>
  <c r="BR165" i="20"/>
  <c r="BQ165" i="20"/>
  <c r="BD164" i="20"/>
  <c r="BL164" i="20"/>
  <c r="BH164" i="20"/>
  <c r="BE164" i="20"/>
  <c r="BM164" i="20"/>
  <c r="BO164" i="20"/>
  <c r="BQ164" i="20"/>
  <c r="BR164" i="20"/>
  <c r="BF164" i="20"/>
  <c r="BN164" i="20"/>
  <c r="G210" i="20" s="1"/>
  <c r="BG164" i="20"/>
  <c r="BI164" i="20"/>
  <c r="BJ164" i="20"/>
  <c r="BK164" i="20"/>
  <c r="BS164" i="20"/>
  <c r="BP164" i="20"/>
  <c r="BD162" i="20"/>
  <c r="BL162" i="20"/>
  <c r="BO162" i="20"/>
  <c r="BE162" i="20"/>
  <c r="BM162" i="20"/>
  <c r="BG162" i="20"/>
  <c r="BH162" i="20"/>
  <c r="BR162" i="20"/>
  <c r="BF162" i="20"/>
  <c r="BN162" i="20"/>
  <c r="G208" i="20" s="1"/>
  <c r="BP162" i="20"/>
  <c r="BQ162" i="20"/>
  <c r="BK162" i="20"/>
  <c r="BS162" i="20"/>
  <c r="BI162" i="20"/>
  <c r="BJ162" i="20"/>
  <c r="Z199" i="20"/>
  <c r="AK187" i="20"/>
  <c r="AD187" i="20"/>
  <c r="AO181" i="20"/>
  <c r="AJ199" i="20"/>
  <c r="BA181" i="20"/>
  <c r="Y199" i="20"/>
  <c r="AV181" i="20"/>
  <c r="AP181" i="20"/>
  <c r="AF187" i="20"/>
  <c r="E233" i="20" s="1"/>
  <c r="AJ187" i="20"/>
  <c r="AR181" i="20"/>
  <c r="AI199" i="20"/>
  <c r="AY181" i="20"/>
  <c r="AS181" i="20"/>
  <c r="AZ181" i="20"/>
  <c r="W187" i="20"/>
  <c r="AH199" i="20"/>
  <c r="AW181" i="20"/>
  <c r="F227" i="20" s="1"/>
  <c r="AJ191" i="20"/>
  <c r="AI191" i="20"/>
  <c r="V199" i="20"/>
  <c r="AE199" i="20"/>
  <c r="Y191" i="20"/>
  <c r="AG191" i="20"/>
  <c r="AH191" i="20"/>
  <c r="Z191" i="20"/>
  <c r="AA191" i="20"/>
  <c r="X191" i="20"/>
  <c r="AD191" i="20"/>
  <c r="AG199" i="20"/>
  <c r="W199" i="20"/>
  <c r="AH196" i="20"/>
  <c r="V191" i="20"/>
  <c r="AK191" i="20"/>
  <c r="X199" i="20"/>
  <c r="AA199" i="20"/>
  <c r="W196" i="20"/>
  <c r="AA196" i="20"/>
  <c r="AB191" i="20"/>
  <c r="AC191" i="20"/>
  <c r="AB199" i="20"/>
  <c r="AK196" i="20"/>
  <c r="AI174" i="20"/>
  <c r="AF174" i="20"/>
  <c r="E220" i="20" s="1"/>
  <c r="AK174" i="20"/>
  <c r="Z174" i="20"/>
  <c r="AG174" i="20"/>
  <c r="W174" i="20"/>
  <c r="AC174" i="20"/>
  <c r="AA174" i="20"/>
  <c r="V174" i="20"/>
  <c r="Y174" i="20"/>
  <c r="AH174" i="20"/>
  <c r="AD174" i="20"/>
  <c r="AB174" i="20"/>
  <c r="X174" i="20"/>
  <c r="AE174" i="20"/>
  <c r="AJ174" i="20"/>
  <c r="AK172" i="20"/>
  <c r="AH172" i="20"/>
  <c r="AD172" i="20"/>
  <c r="AC172" i="20"/>
  <c r="AB172" i="20"/>
  <c r="AA172" i="20"/>
  <c r="AE172" i="20"/>
  <c r="AF172" i="20"/>
  <c r="E218" i="20" s="1"/>
  <c r="Y172" i="20"/>
  <c r="AJ172" i="20"/>
  <c r="V172" i="20"/>
  <c r="AG172" i="20"/>
  <c r="W172" i="20"/>
  <c r="Z172" i="20"/>
  <c r="AI172" i="20"/>
  <c r="X172" i="20"/>
  <c r="AF164" i="20"/>
  <c r="AK164" i="20"/>
  <c r="AD164" i="20"/>
  <c r="AC164" i="20"/>
  <c r="AB164" i="20"/>
  <c r="AA164" i="20"/>
  <c r="Z164" i="20"/>
  <c r="AH164" i="20"/>
  <c r="AI164" i="20"/>
  <c r="W164" i="20"/>
  <c r="Y164" i="20"/>
  <c r="AJ164" i="20"/>
  <c r="X164" i="20"/>
  <c r="V164" i="20"/>
  <c r="AE164" i="20"/>
  <c r="AG164" i="20"/>
  <c r="AK162" i="20"/>
  <c r="AH162" i="20"/>
  <c r="AE162" i="20"/>
  <c r="AF162" i="20"/>
  <c r="AD162" i="20"/>
  <c r="AC162" i="20"/>
  <c r="AB162" i="20"/>
  <c r="AA162" i="20"/>
  <c r="Z162" i="20"/>
  <c r="AI162" i="20"/>
  <c r="Y162" i="20"/>
  <c r="V162" i="20"/>
  <c r="W162" i="20"/>
  <c r="X162" i="20"/>
  <c r="AG162" i="20"/>
  <c r="AJ162" i="20"/>
  <c r="AG176" i="20"/>
  <c r="AI176" i="20"/>
  <c r="AJ176" i="20"/>
  <c r="AH176" i="20"/>
  <c r="AD176" i="20"/>
  <c r="AB176" i="20"/>
  <c r="X176" i="20"/>
  <c r="AF176" i="20"/>
  <c r="E222" i="20" s="1"/>
  <c r="Z176" i="20"/>
  <c r="AA176" i="20"/>
  <c r="Y176" i="20"/>
  <c r="AE176" i="20"/>
  <c r="AK176" i="20"/>
  <c r="V176" i="20"/>
  <c r="W176" i="20"/>
  <c r="AC176" i="20"/>
  <c r="AK179" i="20"/>
  <c r="AJ179" i="20"/>
  <c r="AI179" i="20"/>
  <c r="AH179" i="20"/>
  <c r="AG179" i="20"/>
  <c r="AF179" i="20"/>
  <c r="AE179" i="20"/>
  <c r="AD179" i="20"/>
  <c r="AC179" i="20"/>
  <c r="AB179" i="20"/>
  <c r="AA179" i="20"/>
  <c r="Z179" i="20"/>
  <c r="Y179" i="20"/>
  <c r="X179" i="20"/>
  <c r="W179" i="20"/>
  <c r="V179" i="20"/>
  <c r="AJ177" i="20"/>
  <c r="AG177" i="20"/>
  <c r="AE177" i="20"/>
  <c r="AH177" i="20"/>
  <c r="AD177" i="20"/>
  <c r="AB177" i="20"/>
  <c r="X177" i="20"/>
  <c r="V177" i="20"/>
  <c r="W177" i="20"/>
  <c r="AA177" i="20"/>
  <c r="AC177" i="20"/>
  <c r="AI177" i="20"/>
  <c r="Y177" i="20"/>
  <c r="Z177" i="20"/>
  <c r="AK177" i="20"/>
  <c r="AF177" i="20"/>
  <c r="AK171" i="20"/>
  <c r="AJ171" i="20"/>
  <c r="AI171" i="20"/>
  <c r="AH171" i="20"/>
  <c r="AG171" i="20"/>
  <c r="AF171" i="20"/>
  <c r="E217" i="20" s="1"/>
  <c r="AE171" i="20"/>
  <c r="AD171" i="20"/>
  <c r="AC171" i="20"/>
  <c r="AB171" i="20"/>
  <c r="AA171" i="20"/>
  <c r="Z171" i="20"/>
  <c r="Y171" i="20"/>
  <c r="X171" i="20"/>
  <c r="W171" i="20"/>
  <c r="V171" i="20"/>
  <c r="AE169" i="20"/>
  <c r="AJ169" i="20"/>
  <c r="AG169" i="20"/>
  <c r="AH169" i="20"/>
  <c r="AF169" i="20"/>
  <c r="V169" i="20"/>
  <c r="AK169" i="20"/>
  <c r="AC169" i="20"/>
  <c r="AA169" i="20"/>
  <c r="X169" i="20"/>
  <c r="Y169" i="20"/>
  <c r="AD169" i="20"/>
  <c r="Z169" i="20"/>
  <c r="W169" i="20"/>
  <c r="AI169" i="20"/>
  <c r="AB169" i="20"/>
  <c r="AI175" i="20"/>
  <c r="AF175" i="20"/>
  <c r="AG175" i="20"/>
  <c r="Z175" i="20"/>
  <c r="AK175" i="20"/>
  <c r="W175" i="20"/>
  <c r="AH175" i="20"/>
  <c r="AD175" i="20"/>
  <c r="AB175" i="20"/>
  <c r="X175" i="20"/>
  <c r="AE175" i="20"/>
  <c r="AJ175" i="20"/>
  <c r="V175" i="20"/>
  <c r="Y175" i="20"/>
  <c r="AC175" i="20"/>
  <c r="AA175" i="20"/>
  <c r="AH170" i="20"/>
  <c r="AE170" i="20"/>
  <c r="AJ170" i="20"/>
  <c r="AK170" i="20"/>
  <c r="AD170" i="20"/>
  <c r="AC170" i="20"/>
  <c r="AB170" i="20"/>
  <c r="AA170" i="20"/>
  <c r="Z170" i="20"/>
  <c r="Y170" i="20"/>
  <c r="AF170" i="20"/>
  <c r="E216" i="20" s="1"/>
  <c r="V170" i="20"/>
  <c r="AI170" i="20"/>
  <c r="X170" i="20"/>
  <c r="W170" i="20"/>
  <c r="AG170" i="20"/>
  <c r="AI165" i="20"/>
  <c r="AF165" i="20"/>
  <c r="E211" i="20" s="1"/>
  <c r="AK165" i="20"/>
  <c r="AD165" i="20"/>
  <c r="AC165" i="20"/>
  <c r="AB165" i="20"/>
  <c r="AA165" i="20"/>
  <c r="Z165" i="20"/>
  <c r="AJ165" i="20"/>
  <c r="W165" i="20"/>
  <c r="AH165" i="20"/>
  <c r="AE165" i="20"/>
  <c r="X165" i="20"/>
  <c r="Y165" i="20"/>
  <c r="V165" i="20"/>
  <c r="AG165" i="20"/>
  <c r="CI163" i="20"/>
  <c r="CF163" i="20"/>
  <c r="CD163" i="20"/>
  <c r="CC163" i="20"/>
  <c r="CB163" i="20"/>
  <c r="CA163" i="20"/>
  <c r="CG163" i="20"/>
  <c r="BY163" i="20"/>
  <c r="CH163" i="20"/>
  <c r="BV163" i="20"/>
  <c r="CJ163" i="20"/>
  <c r="BW163" i="20"/>
  <c r="CE163" i="20"/>
  <c r="H209" i="20" s="1"/>
  <c r="BX163" i="20"/>
  <c r="BZ163" i="20"/>
  <c r="BU163" i="20"/>
  <c r="BB170" i="20"/>
  <c r="AX170" i="20"/>
  <c r="AT170" i="20"/>
  <c r="AO170" i="20"/>
  <c r="AY170" i="20"/>
  <c r="AP170" i="20"/>
  <c r="BA170" i="20"/>
  <c r="AU170" i="20"/>
  <c r="AQ170" i="20"/>
  <c r="AN170" i="20"/>
  <c r="AZ170" i="20"/>
  <c r="AV170" i="20"/>
  <c r="AS170" i="20"/>
  <c r="AM170" i="20"/>
  <c r="AR170" i="20"/>
  <c r="AW170" i="20"/>
  <c r="F216" i="20" s="1"/>
  <c r="BB189" i="20"/>
  <c r="BA189" i="20"/>
  <c r="AZ189" i="20"/>
  <c r="AY189" i="20"/>
  <c r="AX189" i="20"/>
  <c r="AW189" i="20"/>
  <c r="F235" i="20" s="1"/>
  <c r="AV189" i="20"/>
  <c r="AU189" i="20"/>
  <c r="AT189" i="20"/>
  <c r="AR189" i="20"/>
  <c r="AQ189" i="20"/>
  <c r="AP189" i="20"/>
  <c r="AN189" i="20"/>
  <c r="AO189" i="20"/>
  <c r="AM189" i="20"/>
  <c r="AS189" i="20"/>
  <c r="AS180" i="20"/>
  <c r="BB180" i="20"/>
  <c r="AX180" i="20"/>
  <c r="AT180" i="20"/>
  <c r="AR180" i="20"/>
  <c r="AY180" i="20"/>
  <c r="AU180" i="20"/>
  <c r="AP180" i="20"/>
  <c r="AQ180" i="20"/>
  <c r="AN180" i="20"/>
  <c r="AO180" i="20"/>
  <c r="AZ180" i="20"/>
  <c r="AW180" i="20"/>
  <c r="F226" i="20" s="1"/>
  <c r="AV180" i="20"/>
  <c r="AM180" i="20"/>
  <c r="BA180" i="20"/>
  <c r="CH195" i="20"/>
  <c r="CJ195" i="20"/>
  <c r="CD195" i="20"/>
  <c r="CA195" i="20"/>
  <c r="CF195" i="20"/>
  <c r="CC195" i="20"/>
  <c r="BX195" i="20"/>
  <c r="CG195" i="20"/>
  <c r="CB195" i="20"/>
  <c r="BU195" i="20"/>
  <c r="CI195" i="20"/>
  <c r="CE195" i="20"/>
  <c r="H241" i="20" s="1"/>
  <c r="BV195" i="20"/>
  <c r="BW195" i="20"/>
  <c r="BZ195" i="20"/>
  <c r="BY195" i="20"/>
  <c r="AZ185" i="20"/>
  <c r="AV185" i="20"/>
  <c r="AQ185" i="20"/>
  <c r="BA185" i="20"/>
  <c r="AS185" i="20"/>
  <c r="AM185" i="20"/>
  <c r="BB185" i="20"/>
  <c r="AW185" i="20"/>
  <c r="F231" i="20" s="1"/>
  <c r="AR185" i="20"/>
  <c r="AN185" i="20"/>
  <c r="AT185" i="20"/>
  <c r="AU185" i="20"/>
  <c r="AO185" i="20"/>
  <c r="AP185" i="20"/>
  <c r="AY185" i="20"/>
  <c r="AX185" i="20"/>
  <c r="AY169" i="20"/>
  <c r="BB169" i="20"/>
  <c r="BA169" i="20"/>
  <c r="AU169" i="20"/>
  <c r="AQ169" i="20"/>
  <c r="AN169" i="20"/>
  <c r="AR169" i="20"/>
  <c r="AP169" i="20"/>
  <c r="AZ169" i="20"/>
  <c r="AX169" i="20"/>
  <c r="AV169" i="20"/>
  <c r="AS169" i="20"/>
  <c r="AT169" i="20"/>
  <c r="AO169" i="20"/>
  <c r="AW169" i="20"/>
  <c r="F215" i="20" s="1"/>
  <c r="AM169" i="20"/>
  <c r="AQ177" i="20"/>
  <c r="AZ177" i="20"/>
  <c r="AY177" i="20"/>
  <c r="AT177" i="20"/>
  <c r="AR177" i="20"/>
  <c r="AX177" i="20"/>
  <c r="AW177" i="20"/>
  <c r="F223" i="20" s="1"/>
  <c r="BA177" i="20"/>
  <c r="AM177" i="20"/>
  <c r="AN177" i="20"/>
  <c r="AP177" i="20"/>
  <c r="AU177" i="20"/>
  <c r="AV177" i="20"/>
  <c r="AS177" i="20"/>
  <c r="AO177" i="20"/>
  <c r="BB177" i="20"/>
  <c r="CE176" i="20"/>
  <c r="H222" i="20" s="1"/>
  <c r="CJ176" i="20"/>
  <c r="CG176" i="20"/>
  <c r="CA176" i="20"/>
  <c r="BX176" i="20"/>
  <c r="BU176" i="20"/>
  <c r="BZ176" i="20"/>
  <c r="CI176" i="20"/>
  <c r="CC176" i="20"/>
  <c r="CB176" i="20"/>
  <c r="CD176" i="20"/>
  <c r="CH176" i="20"/>
  <c r="BW176" i="20"/>
  <c r="CF176" i="20"/>
  <c r="BV176" i="20"/>
  <c r="BY176" i="20"/>
  <c r="AN163" i="20"/>
  <c r="AM163" i="20"/>
  <c r="BA163" i="20"/>
  <c r="AZ163" i="20"/>
  <c r="AW163" i="20"/>
  <c r="F209" i="20" s="1"/>
  <c r="AO163" i="20"/>
  <c r="AX163" i="20"/>
  <c r="AS163" i="20"/>
  <c r="AT163" i="20"/>
  <c r="BB163" i="20"/>
  <c r="AP163" i="20"/>
  <c r="AY163" i="20"/>
  <c r="AR163" i="20"/>
  <c r="AU163" i="20"/>
  <c r="AV163" i="20"/>
  <c r="AQ163" i="20"/>
  <c r="CJ194" i="20"/>
  <c r="CG194" i="20"/>
  <c r="CE194" i="20"/>
  <c r="H240" i="20" s="1"/>
  <c r="CD194" i="20"/>
  <c r="CC194" i="20"/>
  <c r="CB194" i="20"/>
  <c r="CF194" i="20"/>
  <c r="BX194" i="20"/>
  <c r="BU194" i="20"/>
  <c r="BZ194" i="20"/>
  <c r="BW194" i="20"/>
  <c r="CH194" i="20"/>
  <c r="CA194" i="20"/>
  <c r="BY194" i="20"/>
  <c r="CI194" i="20"/>
  <c r="BV194" i="20"/>
  <c r="AH180" i="20"/>
  <c r="AE180" i="20"/>
  <c r="AD180" i="20"/>
  <c r="AC180" i="20"/>
  <c r="AB180" i="20"/>
  <c r="AA180" i="20"/>
  <c r="AJ180" i="20"/>
  <c r="AK180" i="20"/>
  <c r="AI180" i="20"/>
  <c r="Y180" i="20"/>
  <c r="V180" i="20"/>
  <c r="AG180" i="20"/>
  <c r="AF180" i="20"/>
  <c r="E226" i="20" s="1"/>
  <c r="Z180" i="20"/>
  <c r="W180" i="20"/>
  <c r="X180" i="20"/>
  <c r="BA162" i="20"/>
  <c r="AW162" i="20"/>
  <c r="F208" i="20" s="1"/>
  <c r="AR162" i="20"/>
  <c r="BB162" i="20"/>
  <c r="AX162" i="20"/>
  <c r="AO162" i="20"/>
  <c r="AS162" i="20"/>
  <c r="AV162" i="20"/>
  <c r="AP162" i="20"/>
  <c r="AN162" i="20"/>
  <c r="AZ162" i="20"/>
  <c r="AT162" i="20"/>
  <c r="AQ162" i="20"/>
  <c r="AU162" i="20"/>
  <c r="AM162" i="20"/>
  <c r="AY162" i="20"/>
  <c r="AH197" i="20"/>
  <c r="AJ197" i="20"/>
  <c r="AK197" i="20"/>
  <c r="AI197" i="20"/>
  <c r="Y197" i="20"/>
  <c r="V197" i="20"/>
  <c r="AG197" i="20"/>
  <c r="AD197" i="20"/>
  <c r="AB197" i="20"/>
  <c r="AE197" i="20"/>
  <c r="AF197" i="20"/>
  <c r="E243" i="20" s="1"/>
  <c r="AC197" i="20"/>
  <c r="W197" i="20"/>
  <c r="X197" i="20"/>
  <c r="Z197" i="20"/>
  <c r="AA197" i="20"/>
  <c r="CJ177" i="20"/>
  <c r="CI177" i="20"/>
  <c r="CH177" i="20"/>
  <c r="CG177" i="20"/>
  <c r="CF177" i="20"/>
  <c r="CE177" i="20"/>
  <c r="H223" i="20" s="1"/>
  <c r="CD177" i="20"/>
  <c r="CC177" i="20"/>
  <c r="CB177" i="20"/>
  <c r="CA177" i="20"/>
  <c r="BZ177" i="20"/>
  <c r="BY177" i="20"/>
  <c r="BX177" i="20"/>
  <c r="BW177" i="20"/>
  <c r="BV177" i="20"/>
  <c r="BU177" i="20"/>
  <c r="CH186" i="20"/>
  <c r="CJ186" i="20"/>
  <c r="CE186" i="20"/>
  <c r="H232" i="20" s="1"/>
  <c r="CD186" i="20"/>
  <c r="CC186" i="20"/>
  <c r="CB186" i="20"/>
  <c r="CA186" i="20"/>
  <c r="BX186" i="20"/>
  <c r="CI186" i="20"/>
  <c r="BU186" i="20"/>
  <c r="BY186" i="20"/>
  <c r="CG186" i="20"/>
  <c r="BZ186" i="20"/>
  <c r="BV186" i="20"/>
  <c r="BW186" i="20"/>
  <c r="CF186" i="20"/>
  <c r="CE167" i="20"/>
  <c r="H213" i="20" s="1"/>
  <c r="CJ167" i="20"/>
  <c r="CG167" i="20"/>
  <c r="CC167" i="20"/>
  <c r="BX167" i="20"/>
  <c r="CF167" i="20"/>
  <c r="CB167" i="20"/>
  <c r="BU167" i="20"/>
  <c r="CA167" i="20"/>
  <c r="BZ167" i="20"/>
  <c r="CI167" i="20"/>
  <c r="CD167" i="20"/>
  <c r="BV167" i="20"/>
  <c r="BW167" i="20"/>
  <c r="BY167" i="20"/>
  <c r="CH167" i="20"/>
  <c r="CH179" i="20"/>
  <c r="CE179" i="20"/>
  <c r="H225" i="20" s="1"/>
  <c r="CD179" i="20"/>
  <c r="CC179" i="20"/>
  <c r="CB179" i="20"/>
  <c r="CF179" i="20"/>
  <c r="BV179" i="20"/>
  <c r="CG179" i="20"/>
  <c r="CA179" i="20"/>
  <c r="BX179" i="20"/>
  <c r="CJ179" i="20"/>
  <c r="BW179" i="20"/>
  <c r="CI179" i="20"/>
  <c r="BU179" i="20"/>
  <c r="BZ179" i="20"/>
  <c r="BY179" i="20"/>
  <c r="BB192" i="20"/>
  <c r="BA192" i="20"/>
  <c r="AZ192" i="20"/>
  <c r="AU192" i="20"/>
  <c r="AM192" i="20"/>
  <c r="AX192" i="20"/>
  <c r="AP192" i="20"/>
  <c r="AT192" i="20"/>
  <c r="AO192" i="20"/>
  <c r="AN192" i="20"/>
  <c r="AV192" i="20"/>
  <c r="AS192" i="20"/>
  <c r="AR192" i="20"/>
  <c r="AQ192" i="20"/>
  <c r="AY192" i="20"/>
  <c r="AW192" i="20"/>
  <c r="F238" i="20" s="1"/>
  <c r="CH196" i="20"/>
  <c r="CI196" i="20"/>
  <c r="CE196" i="20"/>
  <c r="H242" i="20" s="1"/>
  <c r="BV196" i="20"/>
  <c r="CJ196" i="20"/>
  <c r="CD196" i="20"/>
  <c r="CA196" i="20"/>
  <c r="CF196" i="20"/>
  <c r="CC196" i="20"/>
  <c r="BX196" i="20"/>
  <c r="BZ196" i="20"/>
  <c r="BW196" i="20"/>
  <c r="CG196" i="20"/>
  <c r="BU196" i="20"/>
  <c r="BY196" i="20"/>
  <c r="CB196" i="20"/>
  <c r="AO186" i="20"/>
  <c r="AN186" i="20"/>
  <c r="AM186" i="20"/>
  <c r="AZ186" i="20"/>
  <c r="AY186" i="20"/>
  <c r="BB186" i="20"/>
  <c r="AW186" i="20"/>
  <c r="F232" i="20" s="1"/>
  <c r="AR186" i="20"/>
  <c r="AV186" i="20"/>
  <c r="AS186" i="20"/>
  <c r="AT186" i="20"/>
  <c r="AX186" i="20"/>
  <c r="AU186" i="20"/>
  <c r="AP186" i="20"/>
  <c r="AQ186" i="20"/>
  <c r="BA186" i="20"/>
  <c r="BB197" i="20"/>
  <c r="BA197" i="20"/>
  <c r="AZ197" i="20"/>
  <c r="AY197" i="20"/>
  <c r="AX197" i="20"/>
  <c r="AW197" i="20"/>
  <c r="F243" i="20" s="1"/>
  <c r="AV197" i="20"/>
  <c r="AU197" i="20"/>
  <c r="AT197" i="20"/>
  <c r="AR197" i="20"/>
  <c r="AQ197" i="20"/>
  <c r="AP197" i="20"/>
  <c r="AN197" i="20"/>
  <c r="AS197" i="20"/>
  <c r="AO197" i="20"/>
  <c r="AM197" i="20"/>
  <c r="AE178" i="20"/>
  <c r="AJ178" i="20"/>
  <c r="AG178" i="20"/>
  <c r="AH178" i="20"/>
  <c r="AD178" i="20"/>
  <c r="AC178" i="20"/>
  <c r="AB178" i="20"/>
  <c r="AA178" i="20"/>
  <c r="V178" i="20"/>
  <c r="X178" i="20"/>
  <c r="AI178" i="20"/>
  <c r="Y178" i="20"/>
  <c r="AF178" i="20"/>
  <c r="E224" i="20" s="1"/>
  <c r="W178" i="20"/>
  <c r="Z178" i="20"/>
  <c r="AK178" i="20"/>
  <c r="AG193" i="20"/>
  <c r="AI193" i="20"/>
  <c r="AJ193" i="20"/>
  <c r="AE193" i="20"/>
  <c r="AD193" i="20"/>
  <c r="AC193" i="20"/>
  <c r="AB193" i="20"/>
  <c r="AA193" i="20"/>
  <c r="AH193" i="20"/>
  <c r="X193" i="20"/>
  <c r="AF193" i="20"/>
  <c r="E239" i="20" s="1"/>
  <c r="Z193" i="20"/>
  <c r="Y193" i="20"/>
  <c r="V193" i="20"/>
  <c r="AK193" i="20"/>
  <c r="W193" i="20"/>
  <c r="AF173" i="20"/>
  <c r="AK173" i="20"/>
  <c r="AH173" i="20"/>
  <c r="AD173" i="20"/>
  <c r="AC173" i="20"/>
  <c r="AB173" i="20"/>
  <c r="AA173" i="20"/>
  <c r="AI173" i="20"/>
  <c r="AG173" i="20"/>
  <c r="W173" i="20"/>
  <c r="AE173" i="20"/>
  <c r="Y173" i="20"/>
  <c r="Z173" i="20"/>
  <c r="AJ173" i="20"/>
  <c r="V173" i="20"/>
  <c r="X173" i="20"/>
  <c r="CI198" i="20"/>
  <c r="CF198" i="20"/>
  <c r="BY198" i="20"/>
  <c r="CE198" i="20"/>
  <c r="H244" i="20" s="1"/>
  <c r="BV198" i="20"/>
  <c r="CD198" i="20"/>
  <c r="CC198" i="20"/>
  <c r="CB198" i="20"/>
  <c r="BZ198" i="20"/>
  <c r="BX198" i="20"/>
  <c r="CA198" i="20"/>
  <c r="BW198" i="20"/>
  <c r="CH198" i="20"/>
  <c r="BU198" i="20"/>
  <c r="CG198" i="20"/>
  <c r="CJ198" i="20"/>
  <c r="BW199" i="20"/>
  <c r="BU199" i="20"/>
  <c r="BZ199" i="20"/>
  <c r="CG199" i="20"/>
  <c r="AY178" i="20"/>
  <c r="AU178" i="20"/>
  <c r="AZ178" i="20"/>
  <c r="AN178" i="20"/>
  <c r="AT178" i="20"/>
  <c r="AR178" i="20"/>
  <c r="AX178" i="20"/>
  <c r="AW178" i="20"/>
  <c r="F224" i="20" s="1"/>
  <c r="AQ178" i="20"/>
  <c r="AO178" i="20"/>
  <c r="AP178" i="20"/>
  <c r="BA178" i="20"/>
  <c r="AM178" i="20"/>
  <c r="AV178" i="20"/>
  <c r="AS178" i="20"/>
  <c r="BB178" i="20"/>
  <c r="AZ176" i="20"/>
  <c r="AV176" i="20"/>
  <c r="BA176" i="20"/>
  <c r="AX176" i="20"/>
  <c r="AW176" i="20"/>
  <c r="F222" i="20" s="1"/>
  <c r="AY176" i="20"/>
  <c r="AM176" i="20"/>
  <c r="AS176" i="20"/>
  <c r="AT176" i="20"/>
  <c r="AR176" i="20"/>
  <c r="AU176" i="20"/>
  <c r="AQ176" i="20"/>
  <c r="AN176" i="20"/>
  <c r="BB176" i="20"/>
  <c r="AP176" i="20"/>
  <c r="AO176" i="20"/>
  <c r="AR198" i="20"/>
  <c r="AZ198" i="20"/>
  <c r="AY198" i="20"/>
  <c r="AV198" i="20"/>
  <c r="BA198" i="20"/>
  <c r="AN198" i="20"/>
  <c r="AW198" i="20"/>
  <c r="F244" i="20" s="1"/>
  <c r="AQ198" i="20"/>
  <c r="AO198" i="20"/>
  <c r="AX198" i="20"/>
  <c r="AP198" i="20"/>
  <c r="AS198" i="20"/>
  <c r="BB198" i="20"/>
  <c r="AU198" i="20"/>
  <c r="AM198" i="20"/>
  <c r="AT198" i="20"/>
  <c r="AI192" i="20"/>
  <c r="AF192" i="20"/>
  <c r="E238" i="20" s="1"/>
  <c r="AG192" i="20"/>
  <c r="AD192" i="20"/>
  <c r="AB192" i="20"/>
  <c r="Z192" i="20"/>
  <c r="AK192" i="20"/>
  <c r="W192" i="20"/>
  <c r="AH192" i="20"/>
  <c r="X192" i="20"/>
  <c r="Y192" i="20"/>
  <c r="AJ192" i="20"/>
  <c r="AC192" i="20"/>
  <c r="V192" i="20"/>
  <c r="AA192" i="20"/>
  <c r="AE192" i="20"/>
  <c r="AZ167" i="20"/>
  <c r="AY167" i="20"/>
  <c r="BB167" i="20"/>
  <c r="AR167" i="20"/>
  <c r="AT167" i="20"/>
  <c r="AM167" i="20"/>
  <c r="AW167" i="20"/>
  <c r="F213" i="20" s="1"/>
  <c r="AU167" i="20"/>
  <c r="AQ167" i="20"/>
  <c r="BA167" i="20"/>
  <c r="AX167" i="20"/>
  <c r="AV167" i="20"/>
  <c r="AS167" i="20"/>
  <c r="AP167" i="20"/>
  <c r="AN167" i="20"/>
  <c r="AO167" i="20"/>
  <c r="AY187" i="20"/>
  <c r="AU187" i="20"/>
  <c r="AZ187" i="20"/>
  <c r="AT187" i="20"/>
  <c r="AN187" i="20"/>
  <c r="BB187" i="20"/>
  <c r="AW187" i="20"/>
  <c r="F233" i="20" s="1"/>
  <c r="AR187" i="20"/>
  <c r="BA187" i="20"/>
  <c r="AX187" i="20"/>
  <c r="AQ187" i="20"/>
  <c r="AO187" i="20"/>
  <c r="AM187" i="20"/>
  <c r="AP187" i="20"/>
  <c r="AS187" i="20"/>
  <c r="AV187" i="20"/>
  <c r="CH168" i="20"/>
  <c r="CE168" i="20"/>
  <c r="H214" i="20" s="1"/>
  <c r="CJ168" i="20"/>
  <c r="CI168" i="20"/>
  <c r="CD168" i="20"/>
  <c r="CC168" i="20"/>
  <c r="BX168" i="20"/>
  <c r="CF168" i="20"/>
  <c r="CB168" i="20"/>
  <c r="BU168" i="20"/>
  <c r="BZ168" i="20"/>
  <c r="BV168" i="20"/>
  <c r="BW168" i="20"/>
  <c r="BY168" i="20"/>
  <c r="CA168" i="20"/>
  <c r="CG168" i="20"/>
  <c r="BB188" i="20"/>
  <c r="BA188" i="20"/>
  <c r="AZ188" i="20"/>
  <c r="AY188" i="20"/>
  <c r="AX188" i="20"/>
  <c r="AW188" i="20"/>
  <c r="F234" i="20" s="1"/>
  <c r="AV188" i="20"/>
  <c r="AU188" i="20"/>
  <c r="AT188" i="20"/>
  <c r="AS188" i="20"/>
  <c r="AR188" i="20"/>
  <c r="AQ188" i="20"/>
  <c r="AN188" i="20"/>
  <c r="AP188" i="20"/>
  <c r="AM188" i="20"/>
  <c r="AO188" i="20"/>
  <c r="CF197" i="20"/>
  <c r="CH197" i="20"/>
  <c r="BY197" i="20"/>
  <c r="CI197" i="20"/>
  <c r="CE197" i="20"/>
  <c r="H243" i="20" s="1"/>
  <c r="BV197" i="20"/>
  <c r="CJ197" i="20"/>
  <c r="CD197" i="20"/>
  <c r="CA197" i="20"/>
  <c r="CC197" i="20"/>
  <c r="CB197" i="20"/>
  <c r="BZ197" i="20"/>
  <c r="BX197" i="20"/>
  <c r="CG197" i="20"/>
  <c r="BU197" i="20"/>
  <c r="BW197" i="20"/>
  <c r="BB173" i="20"/>
  <c r="BA173" i="20"/>
  <c r="AZ173" i="20"/>
  <c r="AY173" i="20"/>
  <c r="AX173" i="20"/>
  <c r="AW173" i="20"/>
  <c r="F219" i="20" s="1"/>
  <c r="AV173" i="20"/>
  <c r="AU173" i="20"/>
  <c r="AT173" i="20"/>
  <c r="AS173" i="20"/>
  <c r="AP173" i="20"/>
  <c r="AO173" i="20"/>
  <c r="AR173" i="20"/>
  <c r="AM173" i="20"/>
  <c r="AQ173" i="20"/>
  <c r="AN173" i="20"/>
  <c r="CJ183" i="20"/>
  <c r="CG183" i="20"/>
  <c r="CI183" i="20"/>
  <c r="BU183" i="20"/>
  <c r="CE183" i="20"/>
  <c r="H229" i="20" s="1"/>
  <c r="BZ183" i="20"/>
  <c r="CF183" i="20"/>
  <c r="CD183" i="20"/>
  <c r="BW183" i="20"/>
  <c r="CH183" i="20"/>
  <c r="BV183" i="20"/>
  <c r="CB183" i="20"/>
  <c r="BY183" i="20"/>
  <c r="CC183" i="20"/>
  <c r="BX183" i="20"/>
  <c r="CA183" i="20"/>
  <c r="CH187" i="20"/>
  <c r="BV187" i="20"/>
  <c r="CA187" i="20"/>
  <c r="CE187" i="20"/>
  <c r="H233" i="20" s="1"/>
  <c r="BX187" i="20"/>
  <c r="BU187" i="20"/>
  <c r="CJ187" i="20"/>
  <c r="BY187" i="20"/>
  <c r="CG187" i="20"/>
  <c r="CF187" i="20"/>
  <c r="CB187" i="20"/>
  <c r="BZ187" i="20"/>
  <c r="CI187" i="20"/>
  <c r="CC187" i="20"/>
  <c r="CD187" i="20"/>
  <c r="BW187" i="20"/>
  <c r="AI106" i="20"/>
  <c r="CG174" i="20"/>
  <c r="CI174" i="20"/>
  <c r="BZ174" i="20"/>
  <c r="CH174" i="20"/>
  <c r="BW174" i="20"/>
  <c r="CD174" i="20"/>
  <c r="BX174" i="20"/>
  <c r="CF174" i="20"/>
  <c r="BY174" i="20"/>
  <c r="BU174" i="20"/>
  <c r="CA174" i="20"/>
  <c r="CB174" i="20"/>
  <c r="CJ174" i="20"/>
  <c r="CE174" i="20"/>
  <c r="H220" i="20" s="1"/>
  <c r="CC174" i="20"/>
  <c r="BV174" i="20"/>
  <c r="CF171" i="20"/>
  <c r="CH171" i="20"/>
  <c r="CD171" i="20"/>
  <c r="CC171" i="20"/>
  <c r="CB171" i="20"/>
  <c r="CA171" i="20"/>
  <c r="CE171" i="20"/>
  <c r="H217" i="20" s="1"/>
  <c r="BY171" i="20"/>
  <c r="BV171" i="20"/>
  <c r="CI171" i="20"/>
  <c r="BZ171" i="20"/>
  <c r="CJ171" i="20"/>
  <c r="BU171" i="20"/>
  <c r="BX171" i="20"/>
  <c r="BW171" i="20"/>
  <c r="CG171" i="20"/>
  <c r="BA175" i="20"/>
  <c r="AZ175" i="20"/>
  <c r="AY175" i="20"/>
  <c r="AM175" i="20"/>
  <c r="AS175" i="20"/>
  <c r="BB175" i="20"/>
  <c r="AV175" i="20"/>
  <c r="AO175" i="20"/>
  <c r="AX175" i="20"/>
  <c r="AW175" i="20"/>
  <c r="F221" i="20" s="1"/>
  <c r="AQ175" i="20"/>
  <c r="AN175" i="20"/>
  <c r="AR175" i="20"/>
  <c r="AU175" i="20"/>
  <c r="AP175" i="20"/>
  <c r="AT175" i="20"/>
  <c r="CH178" i="20"/>
  <c r="CE178" i="20"/>
  <c r="H224" i="20" s="1"/>
  <c r="CD178" i="20"/>
  <c r="CC178" i="20"/>
  <c r="CB178" i="20"/>
  <c r="CA178" i="20"/>
  <c r="CJ178" i="20"/>
  <c r="CG178" i="20"/>
  <c r="BX178" i="20"/>
  <c r="BU178" i="20"/>
  <c r="CF178" i="20"/>
  <c r="CI178" i="20"/>
  <c r="BW178" i="20"/>
  <c r="BV178" i="20"/>
  <c r="BZ178" i="20"/>
  <c r="BY178" i="20"/>
  <c r="BA184" i="20"/>
  <c r="AZ184" i="20"/>
  <c r="AS184" i="20"/>
  <c r="AV184" i="20"/>
  <c r="AM184" i="20"/>
  <c r="AT184" i="20"/>
  <c r="AW184" i="20"/>
  <c r="F230" i="20" s="1"/>
  <c r="AU184" i="20"/>
  <c r="AP184" i="20"/>
  <c r="AO184" i="20"/>
  <c r="AX184" i="20"/>
  <c r="AR184" i="20"/>
  <c r="AY184" i="20"/>
  <c r="BB184" i="20"/>
  <c r="AQ184" i="20"/>
  <c r="AN184" i="20"/>
  <c r="CJ169" i="20"/>
  <c r="CI169" i="20"/>
  <c r="CH169" i="20"/>
  <c r="CG169" i="20"/>
  <c r="CF169" i="20"/>
  <c r="CE169" i="20"/>
  <c r="H215" i="20" s="1"/>
  <c r="CD169" i="20"/>
  <c r="CC169" i="20"/>
  <c r="CB169" i="20"/>
  <c r="CA169" i="20"/>
  <c r="BZ169" i="20"/>
  <c r="BY169" i="20"/>
  <c r="BX169" i="20"/>
  <c r="BW169" i="20"/>
  <c r="BV169" i="20"/>
  <c r="BU169" i="20"/>
  <c r="CJ192" i="20"/>
  <c r="CI192" i="20"/>
  <c r="CH192" i="20"/>
  <c r="CG192" i="20"/>
  <c r="CF192" i="20"/>
  <c r="CE192" i="20"/>
  <c r="H238" i="20" s="1"/>
  <c r="CD192" i="20"/>
  <c r="CC192" i="20"/>
  <c r="CB192" i="20"/>
  <c r="CA192" i="20"/>
  <c r="BZ192" i="20"/>
  <c r="BY192" i="20"/>
  <c r="BX192" i="20"/>
  <c r="BW192" i="20"/>
  <c r="BV192" i="20"/>
  <c r="BU192" i="20"/>
  <c r="AZ195" i="20"/>
  <c r="AV195" i="20"/>
  <c r="BA195" i="20"/>
  <c r="AY195" i="20"/>
  <c r="AS195" i="20"/>
  <c r="AM195" i="20"/>
  <c r="AR195" i="20"/>
  <c r="AN195" i="20"/>
  <c r="AQ195" i="20"/>
  <c r="AX195" i="20"/>
  <c r="AP195" i="20"/>
  <c r="AO195" i="20"/>
  <c r="AW195" i="20"/>
  <c r="F241" i="20" s="1"/>
  <c r="AT195" i="20"/>
  <c r="BB195" i="20"/>
  <c r="AU195" i="20"/>
  <c r="AS172" i="20"/>
  <c r="BA172" i="20"/>
  <c r="AW172" i="20"/>
  <c r="F218" i="20" s="1"/>
  <c r="BB172" i="20"/>
  <c r="AX172" i="20"/>
  <c r="AO172" i="20"/>
  <c r="AZ172" i="20"/>
  <c r="AV172" i="20"/>
  <c r="AP172" i="20"/>
  <c r="AN172" i="20"/>
  <c r="AY172" i="20"/>
  <c r="AM172" i="20"/>
  <c r="AR172" i="20"/>
  <c r="AT172" i="20"/>
  <c r="AQ172" i="20"/>
  <c r="AU172" i="20"/>
  <c r="BB166" i="20"/>
  <c r="BA166" i="20"/>
  <c r="AZ166" i="20"/>
  <c r="AY166" i="20"/>
  <c r="AX166" i="20"/>
  <c r="AW166" i="20"/>
  <c r="F212" i="20" s="1"/>
  <c r="AV166" i="20"/>
  <c r="AU166" i="20"/>
  <c r="AT166" i="20"/>
  <c r="AR166" i="20"/>
  <c r="AQ166" i="20"/>
  <c r="AP166" i="20"/>
  <c r="AO166" i="20"/>
  <c r="AM166" i="20"/>
  <c r="AN166" i="20"/>
  <c r="AS166" i="20"/>
  <c r="AQ194" i="20"/>
  <c r="AO194" i="20"/>
  <c r="AN194" i="20"/>
  <c r="AM194" i="20"/>
  <c r="BA194" i="20"/>
  <c r="AZ194" i="20"/>
  <c r="AY194" i="20"/>
  <c r="AV194" i="20"/>
  <c r="AS194" i="20"/>
  <c r="BB194" i="20"/>
  <c r="AU194" i="20"/>
  <c r="AR194" i="20"/>
  <c r="AX194" i="20"/>
  <c r="AW194" i="20"/>
  <c r="F240" i="20" s="1"/>
  <c r="AT194" i="20"/>
  <c r="AP194" i="20"/>
  <c r="CJ193" i="20"/>
  <c r="CG193" i="20"/>
  <c r="CE193" i="20"/>
  <c r="H239" i="20" s="1"/>
  <c r="CD193" i="20"/>
  <c r="CC193" i="20"/>
  <c r="CB193" i="20"/>
  <c r="BU193" i="20"/>
  <c r="BZ193" i="20"/>
  <c r="BW193" i="20"/>
  <c r="CF193" i="20"/>
  <c r="CH193" i="20"/>
  <c r="CA193" i="20"/>
  <c r="BY193" i="20"/>
  <c r="BX193" i="20"/>
  <c r="BV193" i="20"/>
  <c r="CI193" i="20"/>
  <c r="CJ184" i="20"/>
  <c r="CI184" i="20"/>
  <c r="CH184" i="20"/>
  <c r="CG184" i="20"/>
  <c r="CF184" i="20"/>
  <c r="CE184" i="20"/>
  <c r="H230" i="20" s="1"/>
  <c r="CD184" i="20"/>
  <c r="CC184" i="20"/>
  <c r="CB184" i="20"/>
  <c r="CA184" i="20"/>
  <c r="BZ184" i="20"/>
  <c r="BY184" i="20"/>
  <c r="BX184" i="20"/>
  <c r="BW184" i="20"/>
  <c r="BV184" i="20"/>
  <c r="BU184" i="20"/>
  <c r="CI190" i="20"/>
  <c r="CF190" i="20"/>
  <c r="CB190" i="20"/>
  <c r="BW190" i="20"/>
  <c r="CG190" i="20"/>
  <c r="CH190" i="20"/>
  <c r="BY190" i="20"/>
  <c r="CJ190" i="20"/>
  <c r="BX190" i="20"/>
  <c r="CE190" i="20"/>
  <c r="H236" i="20" s="1"/>
  <c r="CD190" i="20"/>
  <c r="BV190" i="20"/>
  <c r="CC190" i="20"/>
  <c r="BU190" i="20"/>
  <c r="CA190" i="20"/>
  <c r="BZ190" i="20"/>
  <c r="CG191" i="20"/>
  <c r="CI191" i="20"/>
  <c r="CJ191" i="20"/>
  <c r="CC191" i="20"/>
  <c r="BZ191" i="20"/>
  <c r="CB191" i="20"/>
  <c r="BW191" i="20"/>
  <c r="CH191" i="20"/>
  <c r="CD191" i="20"/>
  <c r="CA191" i="20"/>
  <c r="BX191" i="20"/>
  <c r="BY191" i="20"/>
  <c r="BU191" i="20"/>
  <c r="CF191" i="20"/>
  <c r="BV191" i="20"/>
  <c r="CE191" i="20"/>
  <c r="H237" i="20" s="1"/>
  <c r="AF190" i="20"/>
  <c r="E236" i="20" s="1"/>
  <c r="AK190" i="20"/>
  <c r="AH190" i="20"/>
  <c r="AI190" i="20"/>
  <c r="AG190" i="20"/>
  <c r="W190" i="20"/>
  <c r="Y190" i="20"/>
  <c r="AD190" i="20"/>
  <c r="AB190" i="20"/>
  <c r="Z190" i="20"/>
  <c r="AE190" i="20"/>
  <c r="X190" i="20"/>
  <c r="AA190" i="20"/>
  <c r="AJ190" i="20"/>
  <c r="AC190" i="20"/>
  <c r="V190" i="20"/>
  <c r="CF180" i="20"/>
  <c r="CH180" i="20"/>
  <c r="CJ180" i="20"/>
  <c r="CB180" i="20"/>
  <c r="BY180" i="20"/>
  <c r="BV180" i="20"/>
  <c r="CG180" i="20"/>
  <c r="CA180" i="20"/>
  <c r="CI180" i="20"/>
  <c r="BW180" i="20"/>
  <c r="CC180" i="20"/>
  <c r="BX180" i="20"/>
  <c r="BZ180" i="20"/>
  <c r="CD180" i="20"/>
  <c r="BU180" i="20"/>
  <c r="CE180" i="20"/>
  <c r="H226" i="20" s="1"/>
  <c r="AS164" i="20"/>
  <c r="AZ164" i="20"/>
  <c r="AV164" i="20"/>
  <c r="AP164" i="20"/>
  <c r="BA164" i="20"/>
  <c r="AT164" i="20"/>
  <c r="AW164" i="20"/>
  <c r="F210" i="20" s="1"/>
  <c r="AO164" i="20"/>
  <c r="BB164" i="20"/>
  <c r="AY164" i="20"/>
  <c r="AN164" i="20"/>
  <c r="AQ164" i="20"/>
  <c r="AR164" i="20"/>
  <c r="AM164" i="20"/>
  <c r="AU164" i="20"/>
  <c r="AX164" i="20"/>
  <c r="CG182" i="20"/>
  <c r="CI182" i="20"/>
  <c r="CE182" i="20"/>
  <c r="H228" i="20" s="1"/>
  <c r="BZ182" i="20"/>
  <c r="CF182" i="20"/>
  <c r="CD182" i="20"/>
  <c r="BW182" i="20"/>
  <c r="CC182" i="20"/>
  <c r="CJ182" i="20"/>
  <c r="BV182" i="20"/>
  <c r="CB182" i="20"/>
  <c r="CH182" i="20"/>
  <c r="CA182" i="20"/>
  <c r="BU182" i="20"/>
  <c r="BY182" i="20"/>
  <c r="BX182" i="20"/>
  <c r="CJ185" i="20"/>
  <c r="CE185" i="20"/>
  <c r="H231" i="20" s="1"/>
  <c r="CD185" i="20"/>
  <c r="CC185" i="20"/>
  <c r="CB185" i="20"/>
  <c r="CG185" i="20"/>
  <c r="CH185" i="20"/>
  <c r="BX185" i="20"/>
  <c r="CI185" i="20"/>
  <c r="BU185" i="20"/>
  <c r="BZ185" i="20"/>
  <c r="BY185" i="20"/>
  <c r="BV185" i="20"/>
  <c r="BW185" i="20"/>
  <c r="CF185" i="20"/>
  <c r="CA185" i="20"/>
  <c r="BA193" i="20"/>
  <c r="AW193" i="20"/>
  <c r="F239" i="20" s="1"/>
  <c r="BB193" i="20"/>
  <c r="AZ193" i="20"/>
  <c r="AU193" i="20"/>
  <c r="AM193" i="20"/>
  <c r="AX193" i="20"/>
  <c r="AP193" i="20"/>
  <c r="AY193" i="20"/>
  <c r="AV193" i="20"/>
  <c r="AS193" i="20"/>
  <c r="AR193" i="20"/>
  <c r="AN193" i="20"/>
  <c r="AT193" i="20"/>
  <c r="AQ193" i="20"/>
  <c r="AO193" i="20"/>
  <c r="CI173" i="20"/>
  <c r="CF173" i="20"/>
  <c r="CH173" i="20"/>
  <c r="BW173" i="20"/>
  <c r="CE173" i="20"/>
  <c r="H219" i="20" s="1"/>
  <c r="CD173" i="20"/>
  <c r="BY173" i="20"/>
  <c r="CG173" i="20"/>
  <c r="BU173" i="20"/>
  <c r="BV173" i="20"/>
  <c r="CA173" i="20"/>
  <c r="BX173" i="20"/>
  <c r="CJ173" i="20"/>
  <c r="CB173" i="20"/>
  <c r="BZ173" i="20"/>
  <c r="CC173" i="20"/>
  <c r="CI164" i="20"/>
  <c r="CF164" i="20"/>
  <c r="CJ164" i="20"/>
  <c r="BW164" i="20"/>
  <c r="CG164" i="20"/>
  <c r="BY164" i="20"/>
  <c r="CH164" i="20"/>
  <c r="CE164" i="20"/>
  <c r="H210" i="20" s="1"/>
  <c r="BX164" i="20"/>
  <c r="BV164" i="20"/>
  <c r="CD164" i="20"/>
  <c r="CC164" i="20"/>
  <c r="BZ164" i="20"/>
  <c r="BU164" i="20"/>
  <c r="CB164" i="20"/>
  <c r="CA164" i="20"/>
  <c r="AO179" i="20"/>
  <c r="AN179" i="20"/>
  <c r="AM179" i="20"/>
  <c r="AY179" i="20"/>
  <c r="BB179" i="20"/>
  <c r="AQ179" i="20"/>
  <c r="AZ179" i="20"/>
  <c r="AT179" i="20"/>
  <c r="AR179" i="20"/>
  <c r="AU179" i="20"/>
  <c r="AP179" i="20"/>
  <c r="AX179" i="20"/>
  <c r="BA179" i="20"/>
  <c r="AW179" i="20"/>
  <c r="F225" i="20" s="1"/>
  <c r="AV179" i="20"/>
  <c r="AS179" i="20"/>
  <c r="BB196" i="20"/>
  <c r="BA196" i="20"/>
  <c r="AZ196" i="20"/>
  <c r="AY196" i="20"/>
  <c r="AX196" i="20"/>
  <c r="AW196" i="20"/>
  <c r="F242" i="20" s="1"/>
  <c r="AV196" i="20"/>
  <c r="AU196" i="20"/>
  <c r="AT196" i="20"/>
  <c r="AS196" i="20"/>
  <c r="AR196" i="20"/>
  <c r="AN196" i="20"/>
  <c r="AP196" i="20"/>
  <c r="AO196" i="20"/>
  <c r="AQ196" i="20"/>
  <c r="AM196" i="20"/>
  <c r="CI189" i="20"/>
  <c r="CF189" i="20"/>
  <c r="CG189" i="20"/>
  <c r="CH189" i="20"/>
  <c r="BY189" i="20"/>
  <c r="BV189" i="20"/>
  <c r="BX189" i="20"/>
  <c r="CE189" i="20"/>
  <c r="H235" i="20" s="1"/>
  <c r="BU189" i="20"/>
  <c r="CC189" i="20"/>
  <c r="CD189" i="20"/>
  <c r="CA189" i="20"/>
  <c r="CB189" i="20"/>
  <c r="BZ189" i="20"/>
  <c r="CJ189" i="20"/>
  <c r="BW189" i="20"/>
  <c r="AK198" i="20"/>
  <c r="AH198" i="20"/>
  <c r="AF198" i="20"/>
  <c r="E244" i="20" s="1"/>
  <c r="AI198" i="20"/>
  <c r="Y198" i="20"/>
  <c r="V198" i="20"/>
  <c r="AE198" i="20"/>
  <c r="AC198" i="20"/>
  <c r="AA198" i="20"/>
  <c r="W198" i="20"/>
  <c r="X198" i="20"/>
  <c r="AB198" i="20"/>
  <c r="AJ198" i="20"/>
  <c r="AG198" i="20"/>
  <c r="Z198" i="20"/>
  <c r="AD198" i="20"/>
  <c r="CF188" i="20"/>
  <c r="CH188" i="20"/>
  <c r="BY188" i="20"/>
  <c r="BV188" i="20"/>
  <c r="CA188" i="20"/>
  <c r="CG188" i="20"/>
  <c r="CE188" i="20"/>
  <c r="H234" i="20" s="1"/>
  <c r="BU188" i="20"/>
  <c r="CJ188" i="20"/>
  <c r="CC188" i="20"/>
  <c r="CB188" i="20"/>
  <c r="BZ188" i="20"/>
  <c r="CD188" i="20"/>
  <c r="BX188" i="20"/>
  <c r="BW188" i="20"/>
  <c r="CI188" i="20"/>
  <c r="CI172" i="20"/>
  <c r="CF172" i="20"/>
  <c r="CE172" i="20"/>
  <c r="H218" i="20" s="1"/>
  <c r="CD172" i="20"/>
  <c r="BY172" i="20"/>
  <c r="CC172" i="20"/>
  <c r="BV172" i="20"/>
  <c r="CH172" i="20"/>
  <c r="BU172" i="20"/>
  <c r="BX172" i="20"/>
  <c r="CJ172" i="20"/>
  <c r="CG172" i="20"/>
  <c r="CA172" i="20"/>
  <c r="CB172" i="20"/>
  <c r="BW172" i="20"/>
  <c r="BZ172" i="20"/>
  <c r="CJ175" i="20"/>
  <c r="CG175" i="20"/>
  <c r="BU175" i="20"/>
  <c r="BZ175" i="20"/>
  <c r="CH175" i="20"/>
  <c r="BW175" i="20"/>
  <c r="CI175" i="20"/>
  <c r="CC175" i="20"/>
  <c r="CB175" i="20"/>
  <c r="CA175" i="20"/>
  <c r="CD175" i="20"/>
  <c r="BX175" i="20"/>
  <c r="CF175" i="20"/>
  <c r="BY175" i="20"/>
  <c r="BV175" i="20"/>
  <c r="CE175" i="20"/>
  <c r="H221" i="20" s="1"/>
  <c r="AY168" i="20"/>
  <c r="AU168" i="20"/>
  <c r="AQ168" i="20"/>
  <c r="AZ168" i="20"/>
  <c r="BB168" i="20"/>
  <c r="AR168" i="20"/>
  <c r="AT168" i="20"/>
  <c r="AM168" i="20"/>
  <c r="BA168" i="20"/>
  <c r="AN168" i="20"/>
  <c r="AX168" i="20"/>
  <c r="AV168" i="20"/>
  <c r="AS168" i="20"/>
  <c r="AW168" i="20"/>
  <c r="F214" i="20" s="1"/>
  <c r="AO168" i="20"/>
  <c r="AP168" i="20"/>
  <c r="BB174" i="20"/>
  <c r="BA174" i="20"/>
  <c r="AZ174" i="20"/>
  <c r="AY174" i="20"/>
  <c r="AX174" i="20"/>
  <c r="AW174" i="20"/>
  <c r="F220" i="20" s="1"/>
  <c r="AV174" i="20"/>
  <c r="AU174" i="20"/>
  <c r="AT174" i="20"/>
  <c r="AR174" i="20"/>
  <c r="AQ174" i="20"/>
  <c r="AP174" i="20"/>
  <c r="AO174" i="20"/>
  <c r="AS174" i="20"/>
  <c r="AM174" i="20"/>
  <c r="AN174" i="20"/>
  <c r="CF162" i="20"/>
  <c r="CD162" i="20"/>
  <c r="CC162" i="20"/>
  <c r="CB162" i="20"/>
  <c r="CA162" i="20"/>
  <c r="CH162" i="20"/>
  <c r="CG162" i="20"/>
  <c r="BY162" i="20"/>
  <c r="BV162" i="20"/>
  <c r="CE162" i="20"/>
  <c r="H208" i="20" s="1"/>
  <c r="BX162" i="20"/>
  <c r="BU162" i="20"/>
  <c r="BZ162" i="20"/>
  <c r="CJ162" i="20"/>
  <c r="CI162" i="20"/>
  <c r="BW162" i="20"/>
  <c r="BA183" i="20"/>
  <c r="AW183" i="20"/>
  <c r="F229" i="20" s="1"/>
  <c r="BB183" i="20"/>
  <c r="AX183" i="20"/>
  <c r="AV183" i="20"/>
  <c r="AM183" i="20"/>
  <c r="AU183" i="20"/>
  <c r="AP183" i="20"/>
  <c r="AO183" i="20"/>
  <c r="AS183" i="20"/>
  <c r="AY183" i="20"/>
  <c r="AT183" i="20"/>
  <c r="AZ183" i="20"/>
  <c r="AQ183" i="20"/>
  <c r="AR183" i="20"/>
  <c r="AN183" i="20"/>
  <c r="CI181" i="20"/>
  <c r="CF181" i="20"/>
  <c r="CD181" i="20"/>
  <c r="BW181" i="20"/>
  <c r="CC181" i="20"/>
  <c r="CJ181" i="20"/>
  <c r="CB181" i="20"/>
  <c r="BY181" i="20"/>
  <c r="CE181" i="20"/>
  <c r="H227" i="20" s="1"/>
  <c r="CG181" i="20"/>
  <c r="BZ181" i="20"/>
  <c r="CA181" i="20"/>
  <c r="CH181" i="20"/>
  <c r="BV181" i="20"/>
  <c r="BU181" i="20"/>
  <c r="BX181" i="20"/>
  <c r="BB165" i="20"/>
  <c r="BA165" i="20"/>
  <c r="AZ165" i="20"/>
  <c r="AY165" i="20"/>
  <c r="AX165" i="20"/>
  <c r="AW165" i="20"/>
  <c r="F211" i="20" s="1"/>
  <c r="AV165" i="20"/>
  <c r="AU165" i="20"/>
  <c r="AT165" i="20"/>
  <c r="AS165" i="20"/>
  <c r="AR165" i="20"/>
  <c r="AM165" i="20"/>
  <c r="AO165" i="20"/>
  <c r="AQ165" i="20"/>
  <c r="AP165" i="20"/>
  <c r="AN165" i="20"/>
  <c r="CG165" i="20"/>
  <c r="CI165" i="20"/>
  <c r="CA165" i="20"/>
  <c r="BZ165" i="20"/>
  <c r="CJ165" i="20"/>
  <c r="BW165" i="20"/>
  <c r="CF165" i="20"/>
  <c r="CH165" i="20"/>
  <c r="BV165" i="20"/>
  <c r="CE165" i="20"/>
  <c r="H211" i="20" s="1"/>
  <c r="CD165" i="20"/>
  <c r="CC165" i="20"/>
  <c r="BY165" i="20"/>
  <c r="BU165" i="20"/>
  <c r="BX165" i="20"/>
  <c r="CB165" i="20"/>
  <c r="AS171" i="20"/>
  <c r="AR171" i="20"/>
  <c r="AN171" i="20"/>
  <c r="AM171" i="20"/>
  <c r="BB171" i="20"/>
  <c r="AX171" i="20"/>
  <c r="BA171" i="20"/>
  <c r="AZ171" i="20"/>
  <c r="AV171" i="20"/>
  <c r="AP171" i="20"/>
  <c r="AU171" i="20"/>
  <c r="AQ171" i="20"/>
  <c r="AO171" i="20"/>
  <c r="AY171" i="20"/>
  <c r="AW171" i="20"/>
  <c r="F217" i="20" s="1"/>
  <c r="AT171" i="20"/>
  <c r="CJ166" i="20"/>
  <c r="CG166" i="20"/>
  <c r="CF166" i="20"/>
  <c r="CB166" i="20"/>
  <c r="BU166" i="20"/>
  <c r="CA166" i="20"/>
  <c r="BZ166" i="20"/>
  <c r="BW166" i="20"/>
  <c r="CE166" i="20"/>
  <c r="H212" i="20" s="1"/>
  <c r="CH166" i="20"/>
  <c r="CI166" i="20"/>
  <c r="BY166" i="20"/>
  <c r="BV166" i="20"/>
  <c r="BX166" i="20"/>
  <c r="CC166" i="20"/>
  <c r="CD166" i="20"/>
  <c r="AY190" i="20"/>
  <c r="BB190" i="20"/>
  <c r="BA190" i="20"/>
  <c r="AX190" i="20"/>
  <c r="AP190" i="20"/>
  <c r="AO190" i="20"/>
  <c r="AT190" i="20"/>
  <c r="AQ190" i="20"/>
  <c r="AW190" i="20"/>
  <c r="F236" i="20" s="1"/>
  <c r="AR190" i="20"/>
  <c r="AS190" i="20"/>
  <c r="AM190" i="20"/>
  <c r="AV190" i="20"/>
  <c r="AZ190" i="20"/>
  <c r="AU190" i="20"/>
  <c r="AN190" i="20"/>
  <c r="CH170" i="20"/>
  <c r="CD170" i="20"/>
  <c r="CC170" i="20"/>
  <c r="CB170" i="20"/>
  <c r="CA170" i="20"/>
  <c r="CE170" i="20"/>
  <c r="H216" i="20" s="1"/>
  <c r="BV170" i="20"/>
  <c r="CI170" i="20"/>
  <c r="CJ170" i="20"/>
  <c r="BX170" i="20"/>
  <c r="CF170" i="20"/>
  <c r="BY170" i="20"/>
  <c r="BZ170" i="20"/>
  <c r="BU170" i="20"/>
  <c r="BW170" i="20"/>
  <c r="CG170" i="20"/>
  <c r="S174" i="20"/>
  <c r="K167" i="20"/>
  <c r="Q162" i="20"/>
  <c r="I162" i="20"/>
  <c r="P162" i="20"/>
  <c r="H162" i="20"/>
  <c r="F162" i="20"/>
  <c r="E162" i="20"/>
  <c r="O162" i="20"/>
  <c r="D208" i="20" s="1"/>
  <c r="N162" i="20"/>
  <c r="L162" i="20"/>
  <c r="S162" i="20"/>
  <c r="K162" i="20"/>
  <c r="G162" i="20"/>
  <c r="R162" i="20"/>
  <c r="J162" i="20"/>
  <c r="M162" i="20"/>
  <c r="T162" i="20"/>
  <c r="Q170" i="20"/>
  <c r="I170" i="20"/>
  <c r="P170" i="20"/>
  <c r="H170" i="20"/>
  <c r="F170" i="20"/>
  <c r="E170" i="20"/>
  <c r="O170" i="20"/>
  <c r="D216" i="20" s="1"/>
  <c r="L170" i="20"/>
  <c r="N170" i="20"/>
  <c r="G170" i="20"/>
  <c r="S170" i="20"/>
  <c r="K170" i="20"/>
  <c r="M170" i="20"/>
  <c r="T170" i="20"/>
  <c r="R170" i="20"/>
  <c r="J170" i="20"/>
  <c r="T183" i="20"/>
  <c r="L183" i="20"/>
  <c r="S183" i="20"/>
  <c r="K183" i="20"/>
  <c r="P183" i="20"/>
  <c r="R183" i="20"/>
  <c r="J183" i="20"/>
  <c r="Q183" i="20"/>
  <c r="I183" i="20"/>
  <c r="H183" i="20"/>
  <c r="O183" i="20"/>
  <c r="D229" i="20" s="1"/>
  <c r="N183" i="20"/>
  <c r="F183" i="20"/>
  <c r="E183" i="20"/>
  <c r="M183" i="20"/>
  <c r="G183" i="20"/>
  <c r="O164" i="20"/>
  <c r="D210" i="20" s="1"/>
  <c r="N164" i="20"/>
  <c r="K164" i="20"/>
  <c r="J164" i="20"/>
  <c r="M164" i="20"/>
  <c r="T164" i="20"/>
  <c r="L164" i="20"/>
  <c r="G164" i="20"/>
  <c r="F164" i="20"/>
  <c r="E164" i="20"/>
  <c r="S164" i="20"/>
  <c r="Q164" i="20"/>
  <c r="I164" i="20"/>
  <c r="P164" i="20"/>
  <c r="H164" i="20"/>
  <c r="R164" i="20"/>
  <c r="O192" i="20"/>
  <c r="D238" i="20" s="1"/>
  <c r="K192" i="20"/>
  <c r="N192" i="20"/>
  <c r="J192" i="20"/>
  <c r="M192" i="20"/>
  <c r="T192" i="20"/>
  <c r="L192" i="20"/>
  <c r="S192" i="20"/>
  <c r="Q192" i="20"/>
  <c r="I192" i="20"/>
  <c r="G192" i="20"/>
  <c r="P192" i="20"/>
  <c r="H192" i="20"/>
  <c r="F192" i="20"/>
  <c r="E192" i="20"/>
  <c r="R192" i="20"/>
  <c r="R185" i="20"/>
  <c r="J185" i="20"/>
  <c r="F185" i="20"/>
  <c r="E185" i="20"/>
  <c r="Q185" i="20"/>
  <c r="I185" i="20"/>
  <c r="P185" i="20"/>
  <c r="H185" i="20"/>
  <c r="N185" i="20"/>
  <c r="O185" i="20"/>
  <c r="D231" i="20" s="1"/>
  <c r="T185" i="20"/>
  <c r="L185" i="20"/>
  <c r="M185" i="20"/>
  <c r="S185" i="20"/>
  <c r="K185" i="20"/>
  <c r="G185" i="20"/>
  <c r="R193" i="20"/>
  <c r="J193" i="20"/>
  <c r="F193" i="20"/>
  <c r="E193" i="20"/>
  <c r="N193" i="20"/>
  <c r="Q193" i="20"/>
  <c r="I193" i="20"/>
  <c r="P193" i="20"/>
  <c r="H193" i="20"/>
  <c r="G193" i="20"/>
  <c r="O193" i="20"/>
  <c r="D239" i="20" s="1"/>
  <c r="T193" i="20"/>
  <c r="L193" i="20"/>
  <c r="M193" i="20"/>
  <c r="S193" i="20"/>
  <c r="K193" i="20"/>
  <c r="M186" i="20"/>
  <c r="T186" i="20"/>
  <c r="L186" i="20"/>
  <c r="F186" i="20"/>
  <c r="E186" i="20"/>
  <c r="P186" i="20"/>
  <c r="S186" i="20"/>
  <c r="K186" i="20"/>
  <c r="R186" i="20"/>
  <c r="J186" i="20"/>
  <c r="I186" i="20"/>
  <c r="O186" i="20"/>
  <c r="D232" i="20" s="1"/>
  <c r="Q186" i="20"/>
  <c r="N186" i="20"/>
  <c r="G186" i="20"/>
  <c r="H186" i="20"/>
  <c r="P187" i="20"/>
  <c r="H187" i="20"/>
  <c r="L187" i="20"/>
  <c r="K187" i="20"/>
  <c r="O187" i="20"/>
  <c r="D233" i="20" s="1"/>
  <c r="N187" i="20"/>
  <c r="F187" i="20"/>
  <c r="E187" i="20"/>
  <c r="M187" i="20"/>
  <c r="G187" i="20"/>
  <c r="T187" i="20"/>
  <c r="R187" i="20"/>
  <c r="J187" i="20"/>
  <c r="S187" i="20"/>
  <c r="Q187" i="20"/>
  <c r="I187" i="20"/>
  <c r="S196" i="20"/>
  <c r="K196" i="20"/>
  <c r="R196" i="20"/>
  <c r="J196" i="20"/>
  <c r="Q196" i="20"/>
  <c r="I196" i="20"/>
  <c r="G196" i="20"/>
  <c r="P196" i="20"/>
  <c r="H196" i="20"/>
  <c r="F196" i="20"/>
  <c r="E196" i="20"/>
  <c r="O196" i="20"/>
  <c r="D242" i="20" s="1"/>
  <c r="M196" i="20"/>
  <c r="N196" i="20"/>
  <c r="T196" i="20"/>
  <c r="L196" i="20"/>
  <c r="Q190" i="20"/>
  <c r="I190" i="20"/>
  <c r="G190" i="20"/>
  <c r="P190" i="20"/>
  <c r="H190" i="20"/>
  <c r="F190" i="20"/>
  <c r="O190" i="20"/>
  <c r="D236" i="20" s="1"/>
  <c r="E190" i="20"/>
  <c r="N190" i="20"/>
  <c r="M190" i="20"/>
  <c r="S190" i="20"/>
  <c r="K190" i="20"/>
  <c r="L190" i="20"/>
  <c r="R190" i="20"/>
  <c r="J190" i="20"/>
  <c r="T190" i="20"/>
  <c r="N189" i="20"/>
  <c r="R189" i="20"/>
  <c r="F189" i="20"/>
  <c r="M189" i="20"/>
  <c r="G189" i="20"/>
  <c r="I189" i="20"/>
  <c r="T189" i="20"/>
  <c r="L189" i="20"/>
  <c r="E189" i="20"/>
  <c r="Q189" i="20"/>
  <c r="S189" i="20"/>
  <c r="K189" i="20"/>
  <c r="J189" i="20"/>
  <c r="P189" i="20"/>
  <c r="H189" i="20"/>
  <c r="O189" i="20"/>
  <c r="D235" i="20" s="1"/>
  <c r="P195" i="20"/>
  <c r="H195" i="20"/>
  <c r="T195" i="20"/>
  <c r="O195" i="20"/>
  <c r="D241" i="20" s="1"/>
  <c r="N195" i="20"/>
  <c r="F195" i="20"/>
  <c r="E195" i="20"/>
  <c r="M195" i="20"/>
  <c r="G195" i="20"/>
  <c r="L195" i="20"/>
  <c r="R195" i="20"/>
  <c r="J195" i="20"/>
  <c r="K195" i="20"/>
  <c r="Q195" i="20"/>
  <c r="I195" i="20"/>
  <c r="S195" i="20"/>
  <c r="N169" i="20"/>
  <c r="F169" i="20"/>
  <c r="M169" i="20"/>
  <c r="I169" i="20"/>
  <c r="T169" i="20"/>
  <c r="L169" i="20"/>
  <c r="S169" i="20"/>
  <c r="K169" i="20"/>
  <c r="J169" i="20"/>
  <c r="P169" i="20"/>
  <c r="H169" i="20"/>
  <c r="G169" i="20"/>
  <c r="O169" i="20"/>
  <c r="D215" i="20" s="1"/>
  <c r="R169" i="20"/>
  <c r="Q169" i="20"/>
  <c r="T163" i="20"/>
  <c r="L163" i="20"/>
  <c r="P163" i="20"/>
  <c r="S163" i="20"/>
  <c r="K163" i="20"/>
  <c r="R163" i="20"/>
  <c r="J163" i="20"/>
  <c r="F163" i="20"/>
  <c r="E163" i="20"/>
  <c r="H163" i="20"/>
  <c r="O163" i="20"/>
  <c r="D209" i="20" s="1"/>
  <c r="Q163" i="20"/>
  <c r="I163" i="20"/>
  <c r="G163" i="20"/>
  <c r="N163" i="20"/>
  <c r="M163" i="20"/>
  <c r="R173" i="20"/>
  <c r="J173" i="20"/>
  <c r="M173" i="20"/>
  <c r="Q173" i="20"/>
  <c r="I173" i="20"/>
  <c r="F173" i="20"/>
  <c r="P173" i="20"/>
  <c r="H173" i="20"/>
  <c r="G173" i="20"/>
  <c r="O173" i="20"/>
  <c r="D219" i="20" s="1"/>
  <c r="E173" i="20"/>
  <c r="T173" i="20"/>
  <c r="L173" i="20"/>
  <c r="N173" i="20"/>
  <c r="S173" i="20"/>
  <c r="K173" i="20"/>
  <c r="Q198" i="20"/>
  <c r="I198" i="20"/>
  <c r="G198" i="20"/>
  <c r="L198" i="20"/>
  <c r="P198" i="20"/>
  <c r="H198" i="20"/>
  <c r="O198" i="20"/>
  <c r="D244" i="20" s="1"/>
  <c r="N198" i="20"/>
  <c r="M198" i="20"/>
  <c r="F198" i="20"/>
  <c r="S198" i="20"/>
  <c r="K198" i="20"/>
  <c r="R198" i="20"/>
  <c r="J198" i="20"/>
  <c r="T198" i="20"/>
  <c r="E198" i="20"/>
  <c r="S188" i="20"/>
  <c r="K188" i="20"/>
  <c r="O188" i="20"/>
  <c r="D234" i="20" s="1"/>
  <c r="R188" i="20"/>
  <c r="J188" i="20"/>
  <c r="Q188" i="20"/>
  <c r="I188" i="20"/>
  <c r="G188" i="20"/>
  <c r="P188" i="20"/>
  <c r="H188" i="20"/>
  <c r="F188" i="20"/>
  <c r="E188" i="20"/>
  <c r="M188" i="20"/>
  <c r="T188" i="20"/>
  <c r="L188" i="20"/>
  <c r="N188" i="20"/>
  <c r="N197" i="20"/>
  <c r="J197" i="20"/>
  <c r="M197" i="20"/>
  <c r="G197" i="20"/>
  <c r="Q197" i="20"/>
  <c r="T197" i="20"/>
  <c r="L197" i="20"/>
  <c r="F197" i="20"/>
  <c r="S197" i="20"/>
  <c r="K197" i="20"/>
  <c r="P197" i="20"/>
  <c r="H197" i="20"/>
  <c r="R197" i="20"/>
  <c r="O197" i="20"/>
  <c r="D243" i="20" s="1"/>
  <c r="E197" i="20"/>
  <c r="I197" i="20"/>
  <c r="M179" i="20"/>
  <c r="Q179" i="20"/>
  <c r="G179" i="20"/>
  <c r="T179" i="20"/>
  <c r="L179" i="20"/>
  <c r="S179" i="20"/>
  <c r="K179" i="20"/>
  <c r="F179" i="20"/>
  <c r="E179" i="20"/>
  <c r="I179" i="20"/>
  <c r="R179" i="20"/>
  <c r="J179" i="20"/>
  <c r="O179" i="20"/>
  <c r="D225" i="20" s="1"/>
  <c r="P179" i="20"/>
  <c r="N179" i="20"/>
  <c r="H179" i="20"/>
  <c r="M166" i="20"/>
  <c r="P166" i="20"/>
  <c r="T166" i="20"/>
  <c r="L166" i="20"/>
  <c r="G166" i="20"/>
  <c r="S166" i="20"/>
  <c r="K166" i="20"/>
  <c r="E166" i="20"/>
  <c r="R166" i="20"/>
  <c r="J166" i="20"/>
  <c r="O166" i="20"/>
  <c r="D212" i="20" s="1"/>
  <c r="Q166" i="20"/>
  <c r="H166" i="20"/>
  <c r="N166" i="20"/>
  <c r="I166" i="20"/>
  <c r="F166" i="20"/>
  <c r="O177" i="20"/>
  <c r="D223" i="20" s="1"/>
  <c r="F177" i="20"/>
  <c r="E177" i="20"/>
  <c r="N177" i="20"/>
  <c r="M177" i="20"/>
  <c r="R177" i="20"/>
  <c r="T177" i="20"/>
  <c r="L177" i="20"/>
  <c r="S177" i="20"/>
  <c r="Q177" i="20"/>
  <c r="I177" i="20"/>
  <c r="G177" i="20"/>
  <c r="P177" i="20"/>
  <c r="H177" i="20"/>
  <c r="K177" i="20"/>
  <c r="J177" i="20"/>
  <c r="T191" i="20"/>
  <c r="L191" i="20"/>
  <c r="H191" i="20"/>
  <c r="S191" i="20"/>
  <c r="K191" i="20"/>
  <c r="R191" i="20"/>
  <c r="J191" i="20"/>
  <c r="Q191" i="20"/>
  <c r="I191" i="20"/>
  <c r="P191" i="20"/>
  <c r="N191" i="20"/>
  <c r="F191" i="20"/>
  <c r="E191" i="20"/>
  <c r="O191" i="20"/>
  <c r="D237" i="20" s="1"/>
  <c r="M191" i="20"/>
  <c r="G191" i="20"/>
  <c r="M194" i="20"/>
  <c r="T194" i="20"/>
  <c r="L194" i="20"/>
  <c r="F194" i="20"/>
  <c r="E194" i="20"/>
  <c r="P194" i="20"/>
  <c r="S194" i="20"/>
  <c r="K194" i="20"/>
  <c r="G194" i="20"/>
  <c r="R194" i="20"/>
  <c r="J194" i="20"/>
  <c r="I194" i="20"/>
  <c r="O194" i="20"/>
  <c r="D240" i="20" s="1"/>
  <c r="N194" i="20"/>
  <c r="Q194" i="20"/>
  <c r="H194" i="20"/>
  <c r="Q175" i="20"/>
  <c r="H175" i="20"/>
  <c r="G175" i="20"/>
  <c r="P175" i="20"/>
  <c r="O175" i="20"/>
  <c r="D221" i="20" s="1"/>
  <c r="N175" i="20"/>
  <c r="K175" i="20"/>
  <c r="M175" i="20"/>
  <c r="L175" i="20"/>
  <c r="S175" i="20"/>
  <c r="J175" i="20"/>
  <c r="F175" i="20"/>
  <c r="E175" i="20"/>
  <c r="T175" i="20"/>
  <c r="R175" i="20"/>
  <c r="I175" i="20"/>
  <c r="E237" i="20"/>
  <c r="T199" i="20"/>
  <c r="L199" i="20"/>
  <c r="H199" i="20"/>
  <c r="S199" i="20"/>
  <c r="K199" i="20"/>
  <c r="R199" i="20"/>
  <c r="J199" i="20"/>
  <c r="Q199" i="20"/>
  <c r="I199" i="20"/>
  <c r="P199" i="20"/>
  <c r="N199" i="20"/>
  <c r="F199" i="20"/>
  <c r="E199" i="20"/>
  <c r="O199" i="20"/>
  <c r="D245" i="20" s="1"/>
  <c r="M199" i="20"/>
  <c r="G199" i="20"/>
  <c r="O184" i="20"/>
  <c r="D230" i="20" s="1"/>
  <c r="K184" i="20"/>
  <c r="N184" i="20"/>
  <c r="J184" i="20"/>
  <c r="M184" i="20"/>
  <c r="R184" i="20"/>
  <c r="T184" i="20"/>
  <c r="L184" i="20"/>
  <c r="S184" i="20"/>
  <c r="Q184" i="20"/>
  <c r="I184" i="20"/>
  <c r="G184" i="20"/>
  <c r="P184" i="20"/>
  <c r="H184" i="20"/>
  <c r="F184" i="20"/>
  <c r="E184" i="20"/>
  <c r="AZ106" i="20"/>
  <c r="CH106" i="20"/>
  <c r="R106" i="20"/>
  <c r="BQ106" i="20"/>
  <c r="CA199" i="20" l="1"/>
  <c r="CH199" i="20"/>
  <c r="CF199" i="20"/>
  <c r="BU200" i="20"/>
  <c r="BZ200" i="20"/>
  <c r="CC200" i="20"/>
  <c r="CI200" i="20"/>
  <c r="BV200" i="20"/>
  <c r="BX200" i="20"/>
  <c r="BY200" i="20"/>
  <c r="CJ200" i="20"/>
  <c r="CB200" i="20"/>
  <c r="CD200" i="20"/>
  <c r="CA200" i="20"/>
  <c r="Q246" i="20"/>
  <c r="L48" i="14" s="1"/>
  <c r="CG200" i="20"/>
  <c r="CH200" i="20"/>
  <c r="CF200" i="20"/>
  <c r="CJ199" i="20"/>
  <c r="BY199" i="20"/>
  <c r="BX199" i="20"/>
  <c r="CI199" i="20"/>
  <c r="CE199" i="20"/>
  <c r="H245" i="20" s="1"/>
  <c r="Q245" i="20" s="1"/>
  <c r="L47" i="14" s="1"/>
  <c r="CB199" i="20"/>
  <c r="CC199" i="20"/>
  <c r="CD199" i="20"/>
  <c r="Q230" i="20"/>
  <c r="L32" i="14" s="1"/>
  <c r="Q244" i="20"/>
  <c r="L46" i="14" s="1"/>
  <c r="Q235" i="20"/>
  <c r="L37" i="14" s="1"/>
  <c r="Q242" i="20"/>
  <c r="L44" i="14" s="1"/>
  <c r="Q239" i="20"/>
  <c r="L41" i="14" s="1"/>
  <c r="Q231" i="20"/>
  <c r="L33" i="14" s="1"/>
  <c r="Q232" i="20"/>
  <c r="L34" i="14" s="1"/>
  <c r="Q243" i="20"/>
  <c r="L45" i="14" s="1"/>
  <c r="Q236" i="20"/>
  <c r="L38" i="14" s="1"/>
  <c r="Q238" i="20"/>
  <c r="L40" i="14" s="1"/>
  <c r="Q240" i="20"/>
  <c r="L42" i="14" s="1"/>
  <c r="Q229" i="20"/>
  <c r="L31" i="14" s="1"/>
  <c r="Q233" i="20"/>
  <c r="L35" i="14" s="1"/>
  <c r="Q234" i="20"/>
  <c r="L36" i="14" s="1"/>
  <c r="Q227" i="20"/>
  <c r="L29" i="14" s="1"/>
  <c r="Q228" i="20"/>
  <c r="L30" i="14" s="1"/>
  <c r="Q241" i="20"/>
  <c r="L43" i="14" s="1"/>
  <c r="Q237" i="20"/>
  <c r="L39" i="14" s="1"/>
  <c r="BL161" i="20"/>
  <c r="BD161" i="20"/>
  <c r="BE161" i="20"/>
  <c r="BM161" i="20"/>
  <c r="BF161" i="20"/>
  <c r="BN161" i="20"/>
  <c r="G207" i="20" s="1"/>
  <c r="BS161" i="20"/>
  <c r="BG161" i="20"/>
  <c r="BO161" i="20"/>
  <c r="BI161" i="20"/>
  <c r="BR161" i="20"/>
  <c r="BK161" i="20"/>
  <c r="BH161" i="20"/>
  <c r="BP161" i="20"/>
  <c r="BQ161" i="20"/>
  <c r="BJ161" i="20"/>
  <c r="AP161" i="20"/>
  <c r="AY161" i="20"/>
  <c r="BB161" i="20"/>
  <c r="AT161" i="20"/>
  <c r="AW161" i="20"/>
  <c r="F207" i="20" s="1"/>
  <c r="AQ161" i="20"/>
  <c r="AO161" i="20"/>
  <c r="AZ161" i="20"/>
  <c r="AR161" i="20"/>
  <c r="AX161" i="20"/>
  <c r="AM161" i="20"/>
  <c r="AU161" i="20"/>
  <c r="AV161" i="20"/>
  <c r="BA161" i="20"/>
  <c r="AS161" i="20"/>
  <c r="AN161" i="20"/>
  <c r="AI161" i="20"/>
  <c r="AF161" i="20"/>
  <c r="E207" i="20" s="1"/>
  <c r="AK161" i="20"/>
  <c r="AJ161" i="20"/>
  <c r="Z161" i="20"/>
  <c r="AE161" i="20"/>
  <c r="AC161" i="20"/>
  <c r="AA161" i="20"/>
  <c r="W161" i="20"/>
  <c r="AH161" i="20"/>
  <c r="AG161" i="20"/>
  <c r="AB161" i="20"/>
  <c r="AD161" i="20"/>
  <c r="V161" i="20"/>
  <c r="X161" i="20"/>
  <c r="Y161" i="20"/>
  <c r="CJ161" i="20"/>
  <c r="CI161" i="20"/>
  <c r="CH161" i="20"/>
  <c r="CG161" i="20"/>
  <c r="CF161" i="20"/>
  <c r="CE161" i="20"/>
  <c r="H207" i="20" s="1"/>
  <c r="CD161" i="20"/>
  <c r="CC161" i="20"/>
  <c r="CB161" i="20"/>
  <c r="CA161" i="20"/>
  <c r="BZ161" i="20"/>
  <c r="BY161" i="20"/>
  <c r="BX161" i="20"/>
  <c r="BW161" i="20"/>
  <c r="BV161" i="20"/>
  <c r="BU161" i="20"/>
  <c r="E219" i="20"/>
  <c r="N174" i="20"/>
  <c r="H174" i="20"/>
  <c r="O174" i="20"/>
  <c r="D220" i="20" s="1"/>
  <c r="Q174" i="20"/>
  <c r="J174" i="20"/>
  <c r="G174" i="20"/>
  <c r="R174" i="20"/>
  <c r="L174" i="20"/>
  <c r="F174" i="20"/>
  <c r="T174" i="20"/>
  <c r="I174" i="20"/>
  <c r="M174" i="20"/>
  <c r="E174" i="20"/>
  <c r="K174" i="20"/>
  <c r="P174" i="20"/>
  <c r="E223" i="20"/>
  <c r="E212" i="20"/>
  <c r="E225" i="20"/>
  <c r="E210" i="20"/>
  <c r="Q167" i="20"/>
  <c r="O167" i="20"/>
  <c r="D213" i="20" s="1"/>
  <c r="T167" i="20"/>
  <c r="M167" i="20"/>
  <c r="I167" i="20"/>
  <c r="N167" i="20"/>
  <c r="E167" i="20"/>
  <c r="L167" i="20"/>
  <c r="F167" i="20"/>
  <c r="G167" i="20"/>
  <c r="J167" i="20"/>
  <c r="H167" i="20"/>
  <c r="R167" i="20"/>
  <c r="P167" i="20"/>
  <c r="S167" i="20"/>
  <c r="N161" i="20"/>
  <c r="F161" i="20"/>
  <c r="I161" i="20"/>
  <c r="M161" i="20"/>
  <c r="T161" i="20"/>
  <c r="L161" i="20"/>
  <c r="S161" i="20"/>
  <c r="K161" i="20"/>
  <c r="J161" i="20"/>
  <c r="P161" i="20"/>
  <c r="H161" i="20"/>
  <c r="G161" i="20"/>
  <c r="R161" i="20"/>
  <c r="Q161" i="20"/>
  <c r="O161" i="20"/>
  <c r="D207" i="20" s="1"/>
  <c r="E161" i="20"/>
  <c r="E209" i="20"/>
  <c r="E215" i="20"/>
  <c r="S168" i="20"/>
  <c r="K168" i="20"/>
  <c r="R168" i="20"/>
  <c r="J168" i="20"/>
  <c r="Q168" i="20"/>
  <c r="I168" i="20"/>
  <c r="O168" i="20"/>
  <c r="D214" i="20" s="1"/>
  <c r="N168" i="20"/>
  <c r="P168" i="20"/>
  <c r="H168" i="20"/>
  <c r="M168" i="20"/>
  <c r="T168" i="20"/>
  <c r="L168" i="20"/>
  <c r="G168" i="20"/>
  <c r="F168" i="20"/>
  <c r="E168" i="20"/>
  <c r="T176" i="20"/>
  <c r="L176" i="20"/>
  <c r="P176" i="20"/>
  <c r="S176" i="20"/>
  <c r="K176" i="20"/>
  <c r="R176" i="20"/>
  <c r="J176" i="20"/>
  <c r="Q176" i="20"/>
  <c r="I176" i="20"/>
  <c r="O176" i="20"/>
  <c r="D222" i="20" s="1"/>
  <c r="N176" i="20"/>
  <c r="H176" i="20"/>
  <c r="M176" i="20"/>
  <c r="G176" i="20"/>
  <c r="F176" i="20"/>
  <c r="E176" i="20"/>
  <c r="E208" i="20"/>
  <c r="E221" i="20"/>
  <c r="P180" i="20"/>
  <c r="H180" i="20"/>
  <c r="K180" i="20"/>
  <c r="O180" i="20"/>
  <c r="D226" i="20" s="1"/>
  <c r="N180" i="20"/>
  <c r="S180" i="20"/>
  <c r="M180" i="20"/>
  <c r="G180" i="20"/>
  <c r="F180" i="20"/>
  <c r="E180" i="20"/>
  <c r="L180" i="20"/>
  <c r="R180" i="20"/>
  <c r="J180" i="20"/>
  <c r="T180" i="20"/>
  <c r="Q180" i="20"/>
  <c r="I180" i="20"/>
  <c r="O172" i="20"/>
  <c r="D218" i="20" s="1"/>
  <c r="N172" i="20"/>
  <c r="M172" i="20"/>
  <c r="R172" i="20"/>
  <c r="T172" i="20"/>
  <c r="L172" i="20"/>
  <c r="G172" i="20"/>
  <c r="F172" i="20"/>
  <c r="E172" i="20"/>
  <c r="K172" i="20"/>
  <c r="Q172" i="20"/>
  <c r="I172" i="20"/>
  <c r="P172" i="20"/>
  <c r="H172" i="20"/>
  <c r="S172" i="20"/>
  <c r="J172" i="20"/>
  <c r="R165" i="20"/>
  <c r="J165" i="20"/>
  <c r="Q165" i="20"/>
  <c r="I165" i="20"/>
  <c r="P165" i="20"/>
  <c r="H165" i="20"/>
  <c r="G165" i="20"/>
  <c r="N165" i="20"/>
  <c r="F165" i="20"/>
  <c r="M165" i="20"/>
  <c r="O165" i="20"/>
  <c r="D211" i="20" s="1"/>
  <c r="T165" i="20"/>
  <c r="L165" i="20"/>
  <c r="E165" i="20"/>
  <c r="S165" i="20"/>
  <c r="K165" i="20"/>
  <c r="T171" i="20"/>
  <c r="L171" i="20"/>
  <c r="P171" i="20"/>
  <c r="S171" i="20"/>
  <c r="K171" i="20"/>
  <c r="R171" i="20"/>
  <c r="J171" i="20"/>
  <c r="F171" i="20"/>
  <c r="E171" i="20"/>
  <c r="H171" i="20"/>
  <c r="Q171" i="20"/>
  <c r="I171" i="20"/>
  <c r="O171" i="20"/>
  <c r="D217" i="20" s="1"/>
  <c r="N171" i="20"/>
  <c r="G171" i="20"/>
  <c r="M171" i="20"/>
  <c r="R178" i="20"/>
  <c r="J178" i="20"/>
  <c r="Q178" i="20"/>
  <c r="I178" i="20"/>
  <c r="F178" i="20"/>
  <c r="E178" i="20"/>
  <c r="M178" i="20"/>
  <c r="G178" i="20"/>
  <c r="P178" i="20"/>
  <c r="H178" i="20"/>
  <c r="O178" i="20"/>
  <c r="D224" i="20" s="1"/>
  <c r="T178" i="20"/>
  <c r="L178" i="20"/>
  <c r="N178" i="20"/>
  <c r="S178" i="20"/>
  <c r="K178" i="20"/>
  <c r="M165" i="27" l="1"/>
  <c r="R246" i="20"/>
  <c r="K48" i="14" s="1"/>
  <c r="R228" i="20"/>
  <c r="K30" i="14" s="1"/>
  <c r="R243" i="20"/>
  <c r="K45" i="14" s="1"/>
  <c r="R227" i="20"/>
  <c r="K29" i="14" s="1"/>
  <c r="R234" i="20"/>
  <c r="K36" i="14" s="1"/>
  <c r="R231" i="20"/>
  <c r="K33" i="14" s="1"/>
  <c r="R245" i="20"/>
  <c r="K47" i="14" s="1"/>
  <c r="R232" i="20"/>
  <c r="K34" i="14" s="1"/>
  <c r="R233" i="20"/>
  <c r="K35" i="14" s="1"/>
  <c r="R239" i="20"/>
  <c r="K41" i="14" s="1"/>
  <c r="R242" i="20"/>
  <c r="K44" i="14" s="1"/>
  <c r="R240" i="20"/>
  <c r="K42" i="14" s="1"/>
  <c r="R235" i="20"/>
  <c r="K37" i="14" s="1"/>
  <c r="R229" i="20"/>
  <c r="K31" i="14" s="1"/>
  <c r="R237" i="20"/>
  <c r="K39" i="14" s="1"/>
  <c r="R238" i="20"/>
  <c r="K40" i="14" s="1"/>
  <c r="R244" i="20"/>
  <c r="K46" i="14" s="1"/>
  <c r="R241" i="20"/>
  <c r="K43" i="14" s="1"/>
  <c r="R236" i="20"/>
  <c r="K38" i="14" s="1"/>
  <c r="R230" i="20"/>
  <c r="K32" i="14" s="1"/>
  <c r="M147" i="27"/>
  <c r="M153" i="27"/>
  <c r="M158" i="27"/>
  <c r="M151" i="27"/>
  <c r="M159" i="27"/>
  <c r="M164" i="27"/>
  <c r="M156" i="27"/>
  <c r="M160" i="27"/>
  <c r="M163" i="27"/>
  <c r="M146" i="27"/>
  <c r="M150" i="27"/>
  <c r="M149" i="27"/>
  <c r="M155" i="27"/>
  <c r="M162" i="27"/>
  <c r="M152" i="27"/>
  <c r="M148" i="27"/>
  <c r="M154" i="27"/>
  <c r="M157" i="27"/>
  <c r="M161" i="27"/>
  <c r="N165" i="27" l="1"/>
  <c r="Q163" i="27"/>
  <c r="R165" i="27" s="1"/>
  <c r="N148" i="27"/>
  <c r="N161" i="27"/>
  <c r="N150" i="27"/>
  <c r="N162" i="27"/>
  <c r="N154" i="27"/>
  <c r="N164" i="27"/>
  <c r="N151" i="27"/>
  <c r="N152" i="27"/>
  <c r="N146" i="27"/>
  <c r="N159" i="27"/>
  <c r="N156" i="27"/>
  <c r="N157" i="27"/>
  <c r="N149" i="27"/>
  <c r="N155" i="27"/>
  <c r="N163" i="27"/>
  <c r="N153" i="27"/>
  <c r="N160" i="27"/>
  <c r="N158" i="27"/>
  <c r="N147" i="27"/>
  <c r="E470" i="1"/>
  <c r="E469" i="1" s="1"/>
  <c r="E346" i="1"/>
  <c r="E292" i="1"/>
  <c r="E276" i="1"/>
  <c r="E145" i="1"/>
  <c r="E124" i="1"/>
  <c r="E140" i="1"/>
  <c r="E146" i="1" l="1"/>
  <c r="E159" i="1" s="1"/>
  <c r="E282" i="1"/>
  <c r="E298" i="1"/>
  <c r="E306" i="1" s="1"/>
  <c r="E286" i="1"/>
  <c r="F44" i="14"/>
  <c r="H44" i="14" s="1"/>
  <c r="E152" i="1"/>
  <c r="E111" i="1"/>
  <c r="E158" i="1" s="1"/>
  <c r="E134" i="1"/>
  <c r="E352" i="1"/>
  <c r="E369" i="1" s="1"/>
  <c r="F52" i="14" s="1"/>
  <c r="H52" i="14" s="1"/>
  <c r="L84" i="27" l="1"/>
  <c r="M84" i="27" s="1"/>
  <c r="I38" i="24" s="1"/>
  <c r="AS55" i="1"/>
  <c r="C38" i="24"/>
  <c r="F38" i="24"/>
  <c r="E311" i="1"/>
  <c r="F41" i="14" s="1"/>
  <c r="H41" i="14" s="1"/>
  <c r="F43" i="14"/>
  <c r="H43" i="14" s="1"/>
  <c r="E281" i="1"/>
  <c r="E299" i="1" s="1"/>
  <c r="F78" i="14"/>
  <c r="H78" i="14" s="1"/>
  <c r="F57" i="14"/>
  <c r="H57" i="14" s="1"/>
  <c r="F77" i="14"/>
  <c r="H77" i="14" s="1"/>
  <c r="Q80" i="27" s="1"/>
  <c r="E363" i="1"/>
  <c r="E357" i="1" s="1"/>
  <c r="E376" i="1" s="1"/>
  <c r="E395" i="1" s="1"/>
  <c r="F48" i="14" s="1"/>
  <c r="H48" i="14" s="1"/>
  <c r="L80" i="27" s="1"/>
  <c r="E375" i="1"/>
  <c r="E154" i="1"/>
  <c r="B81" i="27" l="1"/>
  <c r="Q81" i="27"/>
  <c r="R81" i="27" s="1"/>
  <c r="U35" i="24" s="1"/>
  <c r="R80" i="27"/>
  <c r="U34" i="24" s="1"/>
  <c r="K76" i="14"/>
  <c r="M80" i="27"/>
  <c r="I34" i="24" s="1"/>
  <c r="C35" i="24"/>
  <c r="F35" i="24"/>
  <c r="F37" i="24"/>
  <c r="C37" i="24"/>
  <c r="E318" i="1"/>
  <c r="F40" i="14" s="1"/>
  <c r="H40" i="14" s="1"/>
  <c r="E296" i="1"/>
  <c r="E321" i="1" s="1"/>
  <c r="F42" i="14" s="1"/>
  <c r="H42" i="14" s="1"/>
  <c r="F59" i="14"/>
  <c r="H59" i="14" s="1"/>
  <c r="E373" i="1"/>
  <c r="E388" i="1"/>
  <c r="E383" i="1"/>
  <c r="E166" i="1"/>
  <c r="H56" i="14" s="1"/>
  <c r="B80" i="27" s="1"/>
  <c r="C80" i="27" s="1"/>
  <c r="E147" i="1"/>
  <c r="C81" i="27" l="1"/>
  <c r="L35" i="24" s="1"/>
  <c r="B83" i="27"/>
  <c r="K84" i="14"/>
  <c r="L34" i="24"/>
  <c r="F36" i="24"/>
  <c r="C36" i="24"/>
  <c r="C34" i="24"/>
  <c r="F34" i="24"/>
  <c r="AS61" i="1"/>
  <c r="AS56" i="1"/>
  <c r="F51" i="14"/>
  <c r="H51" i="14" s="1"/>
  <c r="F49" i="14"/>
  <c r="H49" i="14" s="1"/>
  <c r="L81" i="27" s="1"/>
  <c r="E169" i="1"/>
  <c r="F58" i="14" s="1"/>
  <c r="H58" i="14" s="1"/>
  <c r="B82" i="27" s="1"/>
  <c r="C82" i="27" s="1"/>
  <c r="E398" i="1"/>
  <c r="C83" i="27" l="1"/>
  <c r="L37" i="24" s="1"/>
  <c r="L83" i="27"/>
  <c r="M83" i="27" s="1"/>
  <c r="I37" i="24" s="1"/>
  <c r="L36" i="24"/>
  <c r="K64" i="14"/>
  <c r="M81" i="27"/>
  <c r="I35" i="24" s="1"/>
  <c r="F50" i="14"/>
  <c r="H50" i="14" s="1"/>
  <c r="L82" i="27" l="1"/>
  <c r="M82" i="27" s="1"/>
  <c r="I36" i="24" s="1"/>
  <c r="K72" i="14"/>
  <c r="C149" i="7"/>
  <c r="C144" i="7"/>
  <c r="C143" i="7"/>
  <c r="C146" i="7"/>
  <c r="C145" i="7"/>
  <c r="BC81" i="1" s="1"/>
  <c r="BD81" i="1" s="1"/>
  <c r="C147" i="7"/>
  <c r="C131" i="7"/>
  <c r="C139" i="7"/>
  <c r="C135" i="7"/>
  <c r="C134" i="7"/>
  <c r="C132" i="7"/>
  <c r="C136" i="7"/>
  <c r="C140" i="7"/>
  <c r="C133" i="7"/>
  <c r="C137" i="7"/>
  <c r="BC70" i="1" s="1"/>
  <c r="C124" i="7"/>
  <c r="C110" i="7"/>
  <c r="C128" i="7"/>
  <c r="C120" i="7"/>
  <c r="C113" i="7"/>
  <c r="C127" i="7"/>
  <c r="BC55" i="1" s="1"/>
  <c r="C114" i="7"/>
  <c r="C119" i="7"/>
  <c r="C126" i="7"/>
  <c r="C115" i="7"/>
  <c r="C112" i="7"/>
  <c r="C122" i="7"/>
  <c r="C118" i="7"/>
  <c r="C116" i="7"/>
  <c r="C111" i="7"/>
  <c r="C123" i="7"/>
  <c r="C117" i="7"/>
  <c r="C109" i="7"/>
  <c r="C108" i="7"/>
  <c r="C121" i="7"/>
  <c r="B86" i="7"/>
  <c r="B85" i="7"/>
  <c r="B84" i="7"/>
  <c r="B83" i="7"/>
  <c r="BB26" i="1" s="1"/>
  <c r="B82" i="7"/>
  <c r="B81" i="7"/>
  <c r="DH41" i="27" l="1"/>
  <c r="BE41" i="27"/>
  <c r="O11" i="24" s="1"/>
  <c r="DR41" i="27"/>
  <c r="BT41" i="27"/>
  <c r="X11" i="24" s="1"/>
  <c r="FU41" i="27"/>
  <c r="CX41" i="27"/>
  <c r="EG41" i="27"/>
  <c r="AP41" i="27"/>
  <c r="F11" i="24" s="1"/>
  <c r="EQ41" i="27"/>
  <c r="DW41" i="27"/>
  <c r="AK41" i="27"/>
  <c r="C11" i="24" s="1"/>
  <c r="CD41" i="27"/>
  <c r="AD11" i="24" s="1"/>
  <c r="AZ41" i="27"/>
  <c r="L11" i="24" s="1"/>
  <c r="FF41" i="27"/>
  <c r="EV41" i="27"/>
  <c r="FZ41" i="27"/>
  <c r="CN41" i="27"/>
  <c r="AJ11" i="24" s="1"/>
  <c r="AU41" i="27"/>
  <c r="I11" i="24" s="1"/>
  <c r="CI41" i="27"/>
  <c r="AG11" i="24" s="1"/>
  <c r="FK41" i="27"/>
  <c r="BY41" i="27"/>
  <c r="AA11" i="24" s="1"/>
  <c r="DM41" i="27"/>
  <c r="EL41" i="27"/>
  <c r="CS41" i="27"/>
  <c r="AM11" i="24" s="1"/>
  <c r="DC41" i="27"/>
  <c r="BJ41" i="27"/>
  <c r="R11" i="24" s="1"/>
  <c r="FA41" i="27"/>
  <c r="EB41" i="27"/>
  <c r="BO41" i="27"/>
  <c r="U11" i="24" s="1"/>
  <c r="FP41" i="27"/>
  <c r="BD26" i="1"/>
  <c r="BD21" i="1" s="1"/>
  <c r="H22" i="14" s="1"/>
  <c r="BD55" i="1"/>
  <c r="H18" i="14" s="1"/>
  <c r="BD70" i="1"/>
  <c r="H19" i="14" s="1"/>
  <c r="H20" i="14"/>
  <c r="B113" i="8" l="1"/>
  <c r="B112" i="8"/>
  <c r="B111" i="8"/>
  <c r="B91" i="8"/>
  <c r="B83" i="8"/>
  <c r="B80" i="8"/>
  <c r="B77" i="8"/>
  <c r="BA144" i="1" s="1"/>
  <c r="AG327" i="27" l="1"/>
  <c r="AH327" i="27" s="1"/>
  <c r="AI327" i="27" s="1"/>
  <c r="AJ321" i="27" s="1"/>
  <c r="H325" i="27"/>
  <c r="I325" i="27" s="1"/>
  <c r="J325" i="27" s="1"/>
  <c r="K319" i="27" s="1"/>
  <c r="BS242" i="27"/>
  <c r="BT242" i="27" s="1"/>
  <c r="BU242" i="27" s="1"/>
  <c r="BV236" i="27" s="1"/>
  <c r="T326" i="27"/>
  <c r="U326" i="27" s="1"/>
  <c r="V326" i="27" s="1"/>
  <c r="W320" i="27" s="1"/>
  <c r="AT242" i="27"/>
  <c r="AU242" i="27" s="1"/>
  <c r="AV242" i="27" s="1"/>
  <c r="AW236" i="27" s="1"/>
  <c r="U244" i="27"/>
  <c r="V244" i="27" s="1"/>
  <c r="W244" i="27" s="1"/>
  <c r="X238" i="27" s="1"/>
  <c r="CE127" i="1"/>
  <c r="CF127" i="1" s="1"/>
  <c r="CG127" i="1" s="1"/>
  <c r="H148" i="14" s="1"/>
  <c r="CE141" i="1"/>
  <c r="CF141" i="1" s="1"/>
  <c r="CG141" i="1" s="1"/>
  <c r="H133" i="14" s="1"/>
  <c r="CK127" i="1"/>
  <c r="CL127" i="1" s="1"/>
  <c r="CM127" i="1" s="1"/>
  <c r="H145" i="14" s="1"/>
  <c r="CK113" i="1"/>
  <c r="CL113" i="1" s="1"/>
  <c r="CM113" i="1" s="1"/>
  <c r="H151" i="14" s="1"/>
  <c r="BB144" i="1"/>
  <c r="BC144" i="1" s="1"/>
  <c r="H30" i="14" s="1"/>
  <c r="B25" i="27" s="1"/>
  <c r="BL37" i="1"/>
  <c r="I292" i="27"/>
  <c r="J292" i="27" s="1"/>
  <c r="K264" i="27" s="1"/>
  <c r="AH292" i="27"/>
  <c r="AI292" i="27" s="1"/>
  <c r="AJ264" i="27" s="1"/>
  <c r="U292" i="27"/>
  <c r="V292" i="27" s="1"/>
  <c r="W264" i="27" s="1"/>
  <c r="CA93" i="1"/>
  <c r="CH39" i="1"/>
  <c r="BL40" i="1"/>
  <c r="BL86" i="1"/>
  <c r="CA41" i="1"/>
  <c r="CB13" i="1" s="1"/>
  <c r="BT94" i="1"/>
  <c r="V89" i="27" l="1"/>
  <c r="W89" i="27" s="1"/>
  <c r="X43" i="24" s="1"/>
  <c r="Q89" i="27"/>
  <c r="R89" i="27" s="1"/>
  <c r="U43" i="24" s="1"/>
  <c r="AH91" i="27"/>
  <c r="AB91" i="27"/>
  <c r="AM90" i="27"/>
  <c r="AN90" i="27" s="1"/>
  <c r="R44" i="24" s="1"/>
  <c r="AM87" i="27"/>
  <c r="AN87" i="27" s="1"/>
  <c r="R41" i="24" s="1"/>
  <c r="W25" i="27"/>
  <c r="Z55" i="27" s="1"/>
  <c r="V25" i="27"/>
  <c r="Z54" i="27" s="1"/>
  <c r="AP25" i="27"/>
  <c r="AO25" i="27"/>
  <c r="AF25" i="27"/>
  <c r="Z64" i="27" s="1"/>
  <c r="C25" i="27"/>
  <c r="Z35" i="27" s="1"/>
  <c r="AP52" i="27" s="1"/>
  <c r="AA25" i="27"/>
  <c r="Z59" i="27" s="1"/>
  <c r="Q25" i="27"/>
  <c r="Z49" i="27" s="1"/>
  <c r="M25" i="27"/>
  <c r="Z45" i="27" s="1"/>
  <c r="AK25" i="27"/>
  <c r="Z69" i="27" s="1"/>
  <c r="AQ25" i="27"/>
  <c r="Z25" i="27"/>
  <c r="Z58" i="27" s="1"/>
  <c r="AM25" i="27"/>
  <c r="Z71" i="27" s="1"/>
  <c r="AH25" i="27"/>
  <c r="Z66" i="27" s="1"/>
  <c r="O25" i="27"/>
  <c r="Z47" i="27" s="1"/>
  <c r="AB25" i="27"/>
  <c r="Z60" i="27" s="1"/>
  <c r="AI25" i="27"/>
  <c r="Z67" i="27" s="1"/>
  <c r="N25" i="27"/>
  <c r="Z46" i="27" s="1"/>
  <c r="F25" i="27"/>
  <c r="Z38" i="27" s="1"/>
  <c r="AG25" i="27"/>
  <c r="Z65" i="27" s="1"/>
  <c r="Z34" i="27"/>
  <c r="AK52" i="27" s="1"/>
  <c r="AC25" i="27"/>
  <c r="Z61" i="27" s="1"/>
  <c r="E25" i="27"/>
  <c r="Z37" i="27" s="1"/>
  <c r="BE52" i="27" s="1"/>
  <c r="J25" i="27"/>
  <c r="Z42" i="27" s="1"/>
  <c r="AJ25" i="27"/>
  <c r="Z68" i="27" s="1"/>
  <c r="G25" i="27"/>
  <c r="Z39" i="27" s="1"/>
  <c r="K25" i="27"/>
  <c r="Z43" i="27" s="1"/>
  <c r="P25" i="27"/>
  <c r="Z48" i="27" s="1"/>
  <c r="S25" i="27"/>
  <c r="Z51" i="27" s="1"/>
  <c r="AS25" i="27"/>
  <c r="X25" i="27"/>
  <c r="Z56" i="27" s="1"/>
  <c r="R25" i="27"/>
  <c r="Z50" i="27" s="1"/>
  <c r="I25" i="27"/>
  <c r="Z41" i="27" s="1"/>
  <c r="AN25" i="27"/>
  <c r="Z72" i="27" s="1"/>
  <c r="L25" i="27"/>
  <c r="Z44" i="27" s="1"/>
  <c r="T25" i="27"/>
  <c r="Z52" i="27" s="1"/>
  <c r="Y25" i="27"/>
  <c r="Z57" i="27" s="1"/>
  <c r="U25" i="27"/>
  <c r="Z53" i="27" s="1"/>
  <c r="AR25" i="27"/>
  <c r="D25" i="27"/>
  <c r="Z36" i="27" s="1"/>
  <c r="AU52" i="27" s="1"/>
  <c r="AE25" i="27"/>
  <c r="Z63" i="27" s="1"/>
  <c r="AL25" i="27"/>
  <c r="Z70" i="27" s="1"/>
  <c r="AD25" i="27"/>
  <c r="Z62" i="27" s="1"/>
  <c r="H25" i="27"/>
  <c r="Z40" i="27" s="1"/>
  <c r="I17" i="24"/>
  <c r="BM57" i="1"/>
  <c r="H115" i="14" s="1"/>
  <c r="CB64" i="1"/>
  <c r="H124" i="14" s="1"/>
  <c r="Q86" i="27" s="1"/>
  <c r="I12" i="24"/>
  <c r="BM13" i="1"/>
  <c r="H110" i="14" s="1"/>
  <c r="B87" i="27" s="1"/>
  <c r="C87" i="27" s="1"/>
  <c r="BU66" i="1"/>
  <c r="H102" i="14" s="1"/>
  <c r="CI13" i="1"/>
  <c r="H128" i="14" s="1"/>
  <c r="V86" i="27" s="1"/>
  <c r="H120" i="14"/>
  <c r="K90" i="14" s="1"/>
  <c r="R13" i="24"/>
  <c r="K59" i="14"/>
  <c r="AM17" i="24"/>
  <c r="F42" i="24"/>
  <c r="C42" i="24"/>
  <c r="FK52" i="27" l="1"/>
  <c r="EQ52" i="27"/>
  <c r="DW52" i="27"/>
  <c r="DC52" i="27"/>
  <c r="CI52" i="27"/>
  <c r="AG22" i="24" s="1"/>
  <c r="FZ52" i="27"/>
  <c r="FF52" i="27"/>
  <c r="EL52" i="27"/>
  <c r="DR52" i="27"/>
  <c r="CX52" i="27"/>
  <c r="CD52" i="27"/>
  <c r="AD22" i="24" s="1"/>
  <c r="BJ52" i="27"/>
  <c r="R22" i="24" s="1"/>
  <c r="FU52" i="27"/>
  <c r="FA52" i="27"/>
  <c r="EG52" i="27"/>
  <c r="DM52" i="27"/>
  <c r="CS52" i="27"/>
  <c r="AM22" i="24" s="1"/>
  <c r="BY52" i="27"/>
  <c r="AA22" i="24" s="1"/>
  <c r="FP52" i="27"/>
  <c r="EV52" i="27"/>
  <c r="EB52" i="27"/>
  <c r="DH52" i="27"/>
  <c r="CN52" i="27"/>
  <c r="AJ22" i="24" s="1"/>
  <c r="BT52" i="27"/>
  <c r="X22" i="24" s="1"/>
  <c r="O22" i="24"/>
  <c r="K86" i="14"/>
  <c r="G87" i="27"/>
  <c r="H87" i="27" s="1"/>
  <c r="O41" i="24" s="1"/>
  <c r="L41" i="24"/>
  <c r="F22" i="24"/>
  <c r="C22" i="24"/>
  <c r="L22" i="24"/>
  <c r="U22" i="24"/>
  <c r="I22" i="24"/>
  <c r="AI91" i="27"/>
  <c r="F45" i="24" s="1"/>
  <c r="AC91" i="27"/>
  <c r="C45" i="24" s="1"/>
  <c r="W86" i="27"/>
  <c r="X40" i="24" s="1"/>
  <c r="X47" i="24" s="1"/>
  <c r="K82" i="14"/>
  <c r="R86" i="27"/>
  <c r="U40" i="24" s="1"/>
  <c r="K78" i="14"/>
  <c r="R19" i="24"/>
  <c r="K66" i="14"/>
  <c r="K70" i="14"/>
  <c r="H106" i="14"/>
  <c r="L88" i="27" s="1"/>
  <c r="BU29" i="1"/>
  <c r="E90" i="1"/>
  <c r="B16" i="27" s="1"/>
  <c r="AS94" i="1"/>
  <c r="B12" i="27"/>
  <c r="AS9" i="1"/>
  <c r="AS8" i="1" s="1"/>
  <c r="J208" i="20"/>
  <c r="K208" i="20"/>
  <c r="N208" i="20"/>
  <c r="M208" i="20"/>
  <c r="N58" i="14" l="1"/>
  <c r="Q208" i="20"/>
  <c r="L10" i="14" s="1"/>
  <c r="M88" i="27"/>
  <c r="I42" i="24" s="1"/>
  <c r="K74" i="14"/>
  <c r="B17" i="27"/>
  <c r="O34" i="27" s="1"/>
  <c r="N34" i="27"/>
  <c r="J34" i="27"/>
  <c r="B13" i="27"/>
  <c r="K34" i="27" s="1"/>
  <c r="CE53" i="1"/>
  <c r="AS90" i="1"/>
  <c r="F12" i="14" s="1"/>
  <c r="H12" i="14" s="1"/>
  <c r="E97" i="1"/>
  <c r="AS97" i="1" s="1"/>
  <c r="F10" i="14"/>
  <c r="H10" i="14" s="1"/>
  <c r="M207" i="20"/>
  <c r="N207" i="20"/>
  <c r="K207" i="20"/>
  <c r="J207" i="20"/>
  <c r="R208" i="20" l="1"/>
  <c r="K10" i="14" s="1"/>
  <c r="Q207" i="20"/>
  <c r="L9" i="14" s="1"/>
  <c r="N56" i="14"/>
  <c r="CD36" i="27"/>
  <c r="AD6" i="24" s="1"/>
  <c r="CS36" i="27"/>
  <c r="AM6" i="24" s="1"/>
  <c r="DH36" i="27"/>
  <c r="DC36" i="27"/>
  <c r="CI36" i="27"/>
  <c r="AG6" i="24" s="1"/>
  <c r="EG36" i="27"/>
  <c r="FF36" i="27"/>
  <c r="BJ36" i="27"/>
  <c r="R6" i="24" s="1"/>
  <c r="DR36" i="27"/>
  <c r="EV36" i="27"/>
  <c r="FK36" i="27"/>
  <c r="FA36" i="27"/>
  <c r="EB36" i="27"/>
  <c r="EQ36" i="27"/>
  <c r="BY36" i="27"/>
  <c r="AA6" i="24" s="1"/>
  <c r="DM36" i="27"/>
  <c r="EL36" i="27"/>
  <c r="FZ36" i="27"/>
  <c r="DW36" i="27"/>
  <c r="FP36" i="27"/>
  <c r="FU36" i="27"/>
  <c r="CN36" i="27"/>
  <c r="AJ6" i="24" s="1"/>
  <c r="CX36" i="27"/>
  <c r="AU38" i="27"/>
  <c r="I8" i="24" s="1"/>
  <c r="CD38" i="27"/>
  <c r="AD8" i="24" s="1"/>
  <c r="CS38" i="27"/>
  <c r="AM8" i="24" s="1"/>
  <c r="DH38" i="27"/>
  <c r="DC38" i="27"/>
  <c r="CI38" i="27"/>
  <c r="AG8" i="24" s="1"/>
  <c r="EG38" i="27"/>
  <c r="FF38" i="27"/>
  <c r="BJ38" i="27"/>
  <c r="R8" i="24" s="1"/>
  <c r="DR38" i="27"/>
  <c r="EV38" i="27"/>
  <c r="FK38" i="27"/>
  <c r="FA38" i="27"/>
  <c r="EB38" i="27"/>
  <c r="EQ38" i="27"/>
  <c r="BY38" i="27"/>
  <c r="AA8" i="24" s="1"/>
  <c r="DM38" i="27"/>
  <c r="EL38" i="27"/>
  <c r="FZ38" i="27"/>
  <c r="DW38" i="27"/>
  <c r="FP38" i="27"/>
  <c r="FU38" i="27"/>
  <c r="CN38" i="27"/>
  <c r="AJ8" i="24" s="1"/>
  <c r="CX38" i="27"/>
  <c r="BT36" i="27"/>
  <c r="X6" i="24" s="1"/>
  <c r="AU36" i="27"/>
  <c r="I6" i="24" s="1"/>
  <c r="BE38" i="27"/>
  <c r="O8" i="24" s="1"/>
  <c r="BT38" i="27"/>
  <c r="X8" i="24" s="1"/>
  <c r="AZ36" i="27"/>
  <c r="L6" i="24" s="1"/>
  <c r="BE36" i="27"/>
  <c r="O6" i="24" s="1"/>
  <c r="BO38" i="27"/>
  <c r="U8" i="24" s="1"/>
  <c r="AZ38" i="27"/>
  <c r="L8" i="24" s="1"/>
  <c r="AP36" i="27"/>
  <c r="F6" i="24" s="1"/>
  <c r="BO36" i="27"/>
  <c r="U6" i="24" s="1"/>
  <c r="AK38" i="27"/>
  <c r="C8" i="24" s="1"/>
  <c r="AP38" i="27"/>
  <c r="F8" i="24" s="1"/>
  <c r="K57" i="14"/>
  <c r="AK36" i="27"/>
  <c r="C6" i="24" s="1"/>
  <c r="I19" i="24"/>
  <c r="M127" i="27"/>
  <c r="J212" i="20"/>
  <c r="J220" i="20"/>
  <c r="J221" i="20"/>
  <c r="J219" i="20"/>
  <c r="J218" i="20"/>
  <c r="J215" i="20"/>
  <c r="J211" i="20"/>
  <c r="K213" i="20"/>
  <c r="N213" i="20"/>
  <c r="M213" i="20"/>
  <c r="M215" i="20"/>
  <c r="K215" i="20"/>
  <c r="N215" i="20"/>
  <c r="N210" i="20"/>
  <c r="K210" i="20"/>
  <c r="M210" i="20"/>
  <c r="J223" i="20"/>
  <c r="J222" i="20"/>
  <c r="J217" i="20"/>
  <c r="J216" i="20"/>
  <c r="J210" i="20"/>
  <c r="K220" i="20"/>
  <c r="M220" i="20"/>
  <c r="N220" i="20"/>
  <c r="N221" i="20"/>
  <c r="K221" i="20"/>
  <c r="M221" i="20"/>
  <c r="J214" i="20"/>
  <c r="M219" i="20"/>
  <c r="K219" i="20"/>
  <c r="N219" i="20"/>
  <c r="M214" i="20"/>
  <c r="K214" i="20"/>
  <c r="N214" i="20"/>
  <c r="M209" i="20"/>
  <c r="K209" i="20"/>
  <c r="N209" i="20"/>
  <c r="M216" i="20"/>
  <c r="K216" i="20"/>
  <c r="N216" i="20"/>
  <c r="K222" i="20"/>
  <c r="M222" i="20"/>
  <c r="N222" i="20"/>
  <c r="N212" i="20"/>
  <c r="M212" i="20"/>
  <c r="K212" i="20"/>
  <c r="M211" i="20"/>
  <c r="K211" i="20"/>
  <c r="N211" i="20"/>
  <c r="M223" i="20"/>
  <c r="N223" i="20"/>
  <c r="K223" i="20"/>
  <c r="K218" i="20"/>
  <c r="M218" i="20"/>
  <c r="N218" i="20"/>
  <c r="J213" i="20"/>
  <c r="K217" i="20"/>
  <c r="N217" i="20"/>
  <c r="M217" i="20"/>
  <c r="J209" i="20"/>
  <c r="R207" i="20" l="1"/>
  <c r="K9" i="14" s="1"/>
  <c r="M126" i="27"/>
  <c r="AK54" i="27" s="1"/>
  <c r="Q209" i="20"/>
  <c r="L11" i="14" s="1"/>
  <c r="Q221" i="20"/>
  <c r="L23" i="14" s="1"/>
  <c r="Q214" i="20"/>
  <c r="L16" i="14" s="1"/>
  <c r="Q222" i="20"/>
  <c r="L24" i="14" s="1"/>
  <c r="Q218" i="20"/>
  <c r="L20" i="14" s="1"/>
  <c r="Q212" i="20"/>
  <c r="L14" i="14" s="1"/>
  <c r="Q215" i="20"/>
  <c r="L17" i="14" s="1"/>
  <c r="Q210" i="20"/>
  <c r="L12" i="14" s="1"/>
  <c r="Q223" i="20"/>
  <c r="L25" i="14" s="1"/>
  <c r="Q219" i="20"/>
  <c r="L21" i="14" s="1"/>
  <c r="Q211" i="20"/>
  <c r="L13" i="14" s="1"/>
  <c r="Q216" i="20"/>
  <c r="L18" i="14" s="1"/>
  <c r="Q213" i="20"/>
  <c r="L15" i="14" s="1"/>
  <c r="Q217" i="20"/>
  <c r="L19" i="14" s="1"/>
  <c r="Q220" i="20"/>
  <c r="L22" i="14" s="1"/>
  <c r="N127" i="27"/>
  <c r="R213" i="20" l="1"/>
  <c r="K15" i="14" s="1"/>
  <c r="R218" i="20"/>
  <c r="K20" i="14" s="1"/>
  <c r="R216" i="20"/>
  <c r="K18" i="14" s="1"/>
  <c r="R222" i="20"/>
  <c r="K24" i="14" s="1"/>
  <c r="R212" i="20"/>
  <c r="K14" i="14" s="1"/>
  <c r="R214" i="20"/>
  <c r="K16" i="14" s="1"/>
  <c r="R221" i="20"/>
  <c r="K23" i="14" s="1"/>
  <c r="R209" i="20"/>
  <c r="K11" i="14" s="1"/>
  <c r="R217" i="20"/>
  <c r="K19" i="14" s="1"/>
  <c r="R211" i="20"/>
  <c r="K13" i="14" s="1"/>
  <c r="R219" i="20"/>
  <c r="K21" i="14" s="1"/>
  <c r="R210" i="20"/>
  <c r="K12" i="14" s="1"/>
  <c r="R220" i="20"/>
  <c r="K22" i="14" s="1"/>
  <c r="R215" i="20"/>
  <c r="K17" i="14" s="1"/>
  <c r="R223" i="20"/>
  <c r="K25" i="14" s="1"/>
  <c r="BO54" i="27"/>
  <c r="AZ54" i="27"/>
  <c r="M140" i="27"/>
  <c r="M139" i="27"/>
  <c r="M130" i="27"/>
  <c r="M131" i="27"/>
  <c r="M132" i="27"/>
  <c r="M142" i="27"/>
  <c r="M128" i="27"/>
  <c r="AU54" i="27" s="1"/>
  <c r="M141" i="27"/>
  <c r="M134" i="27"/>
  <c r="M135" i="27"/>
  <c r="N126" i="27"/>
  <c r="M138" i="27"/>
  <c r="M129" i="27"/>
  <c r="M137" i="27"/>
  <c r="M136" i="27"/>
  <c r="M133" i="27"/>
  <c r="AN88" i="27"/>
  <c r="R42" i="24" s="1"/>
  <c r="R47" i="24" s="1"/>
  <c r="J225" i="20"/>
  <c r="J226" i="20"/>
  <c r="J224" i="20"/>
  <c r="M225" i="20"/>
  <c r="K225" i="20"/>
  <c r="N225" i="20"/>
  <c r="M224" i="20"/>
  <c r="K224" i="20"/>
  <c r="N224" i="20"/>
  <c r="M226" i="20"/>
  <c r="K226" i="20"/>
  <c r="N226" i="20"/>
  <c r="BE54" i="27" l="1"/>
  <c r="O24" i="24" s="1"/>
  <c r="O26" i="24" s="1"/>
  <c r="CL59" i="1" s="1"/>
  <c r="AP54" i="27"/>
  <c r="F24" i="24" s="1"/>
  <c r="F26" i="24" s="1"/>
  <c r="CL56" i="1" s="1"/>
  <c r="C24" i="24"/>
  <c r="C26" i="24" s="1"/>
  <c r="CL55" i="1" s="1"/>
  <c r="FK54" i="27"/>
  <c r="CL79" i="1" s="1"/>
  <c r="FF54" i="27"/>
  <c r="CL78" i="1" s="1"/>
  <c r="DC54" i="27"/>
  <c r="CL67" i="1" s="1"/>
  <c r="EB54" i="27"/>
  <c r="CL72" i="1" s="1"/>
  <c r="CX54" i="27"/>
  <c r="CL66" i="1" s="1"/>
  <c r="FZ54" i="27"/>
  <c r="CL82" i="1" s="1"/>
  <c r="DR54" i="27"/>
  <c r="CL70" i="1" s="1"/>
  <c r="DM54" i="27"/>
  <c r="CL69" i="1" s="1"/>
  <c r="CN54" i="27"/>
  <c r="AJ24" i="24" s="1"/>
  <c r="AJ26" i="24" s="1"/>
  <c r="BJ54" i="27"/>
  <c r="R24" i="24" s="1"/>
  <c r="R26" i="24" s="1"/>
  <c r="CL60" i="1" s="1"/>
  <c r="T104" i="27" s="1"/>
  <c r="T115" i="27" s="1"/>
  <c r="Q87" i="27" s="1"/>
  <c r="R87" i="27" s="1"/>
  <c r="U41" i="24" s="1"/>
  <c r="U47" i="24" s="1"/>
  <c r="EQ54" i="27"/>
  <c r="CL75" i="1" s="1"/>
  <c r="FU54" i="27"/>
  <c r="CL81" i="1" s="1"/>
  <c r="EG54" i="27"/>
  <c r="CL73" i="1" s="1"/>
  <c r="EV54" i="27"/>
  <c r="CL76" i="1" s="1"/>
  <c r="BT54" i="27"/>
  <c r="X24" i="24" s="1"/>
  <c r="X26" i="24" s="1"/>
  <c r="CL62" i="1" s="1"/>
  <c r="FP54" i="27"/>
  <c r="CL80" i="1" s="1"/>
  <c r="DH54" i="27"/>
  <c r="CL68" i="1" s="1"/>
  <c r="EL54" i="27"/>
  <c r="CL74" i="1" s="1"/>
  <c r="CS54" i="27"/>
  <c r="AM24" i="24" s="1"/>
  <c r="AM26" i="24" s="1"/>
  <c r="FA54" i="27"/>
  <c r="CL77" i="1" s="1"/>
  <c r="CD54" i="27"/>
  <c r="BY54" i="27"/>
  <c r="CI54" i="27"/>
  <c r="DW54" i="27"/>
  <c r="CL71" i="1" s="1"/>
  <c r="Q224" i="20"/>
  <c r="L26" i="14" s="1"/>
  <c r="Q226" i="20"/>
  <c r="L28" i="14" s="1"/>
  <c r="Q225" i="20"/>
  <c r="L27" i="14" s="1"/>
  <c r="U24" i="24"/>
  <c r="U26" i="24" s="1"/>
  <c r="CL61" i="1" s="1"/>
  <c r="N132" i="27"/>
  <c r="N135" i="27"/>
  <c r="N139" i="27"/>
  <c r="N136" i="27"/>
  <c r="N131" i="27"/>
  <c r="N138" i="27"/>
  <c r="L24" i="24"/>
  <c r="L26" i="24" s="1"/>
  <c r="CL58" i="1" s="1"/>
  <c r="D105" i="27"/>
  <c r="N129" i="27"/>
  <c r="N142" i="27"/>
  <c r="N133" i="27"/>
  <c r="N134" i="27"/>
  <c r="N137" i="27"/>
  <c r="I24" i="24"/>
  <c r="I26" i="24" s="1"/>
  <c r="CL57" i="1" s="1"/>
  <c r="N128" i="27"/>
  <c r="N130" i="27"/>
  <c r="N141" i="27"/>
  <c r="N140" i="27"/>
  <c r="F43" i="24"/>
  <c r="F47" i="24" s="1"/>
  <c r="C43" i="24"/>
  <c r="C47" i="24" s="1"/>
  <c r="U207" i="20"/>
  <c r="L49" i="14" l="1"/>
  <c r="R225" i="20"/>
  <c r="K27" i="14" s="1"/>
  <c r="R226" i="20"/>
  <c r="K28" i="14" s="1"/>
  <c r="R224" i="20"/>
  <c r="K26" i="14" s="1"/>
  <c r="J104" i="27"/>
  <c r="D104" i="27"/>
  <c r="D115" i="27" s="1"/>
  <c r="B88" i="27" s="1"/>
  <c r="J105" i="27"/>
  <c r="M145" i="27"/>
  <c r="AG24" i="24" s="1"/>
  <c r="AG26" i="24" s="1"/>
  <c r="CL65" i="1" s="1"/>
  <c r="M144" i="27"/>
  <c r="AD24" i="24" s="1"/>
  <c r="AD26" i="24" s="1"/>
  <c r="CL64" i="1" s="1"/>
  <c r="M143" i="27"/>
  <c r="AA24" i="24" s="1"/>
  <c r="AA26" i="24" s="1"/>
  <c r="CL63" i="1" s="1"/>
  <c r="O104" i="27" s="1"/>
  <c r="O115" i="27" s="1"/>
  <c r="L89" i="27" s="1"/>
  <c r="M89" i="27" s="1"/>
  <c r="I43" i="24" s="1"/>
  <c r="I47" i="24" s="1"/>
  <c r="T207" i="20"/>
  <c r="V207" i="20" s="1"/>
  <c r="C88" i="27" l="1"/>
  <c r="L42" i="24" s="1"/>
  <c r="L47" i="24" s="1"/>
  <c r="J115" i="27"/>
  <c r="G88" i="27" s="1"/>
  <c r="H88" i="27" s="1"/>
  <c r="O42" i="24" s="1"/>
  <c r="O47" i="24" s="1"/>
  <c r="N143" i="27"/>
  <c r="N145" i="27"/>
  <c r="N144" i="27"/>
  <c r="Y214" i="20"/>
  <c r="N59" i="14"/>
  <c r="K60"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tc={DDA64AC3-E2B8-46E0-A863-A05733A056F2}</author>
    <author>tc={E2C58621-17CE-4E6F-9059-7B3F08547EF8}</author>
    <author>tc={69255E72-480B-46C0-8161-E1DF8A96A86D}</author>
    <author>tc={520D3EDD-3A95-40F2-A388-55B66D4EDAB8}</author>
    <author>tc={2B6B345F-DF29-4913-B570-C1A8E84D3CCE}</author>
    <author>tc={632AEF76-5B0C-49FC-BFD2-8F1BAA8EAC88}</author>
    <author>tc={D6A3D8FB-46AF-4772-B8FF-BB97020A2675}</author>
    <author>tc={FCE06299-1FF0-4521-A454-CF93F34A4494}</author>
    <author>tc={70B1ACE3-0176-4AE8-9644-0296D5D38E16}</author>
    <author>tc={F71C0555-45E8-45D1-990C-B921685886D8}</author>
    <author>tc={484ED5A3-A091-4748-8315-B25075A4C101}</author>
    <author>tc={D0A2297D-0B42-4F06-9073-A997875A0FE3}</author>
    <author>tc={F229F974-FD55-4515-99EF-6FFD39D05062}</author>
    <author>tc={58C1D7FF-A780-4EB7-9101-9271DE27A8C3}</author>
    <author>tc={84066085-A29C-41EE-A6CA-87F8092F18E1}</author>
    <author>tc={8632E94E-07E4-4545-8644-E0F53814301B}</author>
    <author>tc={D5450074-66EC-41F6-8B6F-98383824AF0E}</author>
    <author>tc={4D870D93-7933-4EA9-90CF-C89D7825A491}</author>
    <author>tc={AEFA6513-7E98-4751-B4C8-82B14BE27C5F}</author>
    <author>tc={74EA1A58-C9AB-4E2A-BCDD-24C46AA84F89}</author>
    <author>tc={1E0AEAF4-C1A2-42E8-98A3-756DA5B709E2}</author>
    <author>tc={72BE85AC-A925-4A0F-9BC3-6C40D84A6DC5}</author>
    <author>tc={F9D6BEFD-DF39-4C63-85DF-415C57A41A3A}</author>
    <author>tc={53C90EB8-FF11-4523-A5E8-5DEE12677528}</author>
    <author>tc={C01B9E3E-131F-487B-A9AA-457A93007FA9}</author>
    <author>tc={82FB26D7-98E1-4682-82FC-24C690B2C862}</author>
    <author>tc={6829A416-2778-47B2-8EFF-D8B67CBAB3CF}</author>
    <author>tc={13483815-4402-45CA-B3B0-4E155FB49FF9}</author>
    <author>tc={444058D2-FD4E-47C8-92F5-3267E8FF04F6}</author>
  </authors>
  <commentList>
    <comment ref="B3" authorId="0" shapeId="0" xr:uid="{DDA64AC3-E2B8-46E0-A863-A05733A056F2}">
      <text>
        <t>[Threaded comment]
Your version of Excel allows you to read this threaded comment; however, any edits to it will get removed if the file is opened in a newer version of Excel. Learn more: https://go.microsoft.com/fwlink/?linkid=870924
Comment:
    IPCC 2006: Grassland -  according to the national definition, this category includes rangelands and pastureland that is not considered Cropland nor Forest land: land with perennial grasses that is proper for mow and pasture, smaller fallows and former cultural grasslands that have lost arable land features and Grassland from wild lands (‘natural grassland’). An overgrown wooded pasture with a canopy cover between 30 and 50% is classified as Grassland or forest, depending on the mainland-use purpose.</t>
      </text>
    </comment>
    <comment ref="B8" authorId="1" shapeId="0" xr:uid="{E2C58621-17CE-4E6F-9059-7B3F08547EF8}">
      <text>
        <t>[Threaded comment]
Your version of Excel allows you to read this threaded comment; however, any edits to it will get removed if the file is opened in a newer version of Excel. Learn more: https://go.microsoft.com/fwlink/?linkid=870924
Comment:
    turvasmullad on liigutatud eraldi, et oleks paremini nähtav selle mõju jalajälje suursesse</t>
      </text>
    </comment>
    <comment ref="B52" authorId="2" shapeId="0" xr:uid="{69255E72-480B-46C0-8161-E1DF8A96A86D}">
      <text>
        <t>[Threaded comment]
Your version of Excel allows you to read this threaded comment; however, any edits to it will get removed if the file is opened in a newer version of Excel. Learn more: https://go.microsoft.com/fwlink/?linkid=870924
Comment:
    IPCC 2006: Grassland -  according to the national definition, this category includes rangelands and pastureland that is not considered Cropland nor Forest land: land with perennial grasses that is proper for mow and pasture, smaller fallows and former cultural grasslands that have lost arable land features and Grassland from wild lands (‘natural grassland’). An overgrown wooded pasture with a canopy cover between 30 and 50% is classified as Grassland or forest, depending on the mainland-use purpose.</t>
      </text>
    </comment>
    <comment ref="B57" authorId="3" shapeId="0" xr:uid="{520D3EDD-3A95-40F2-A388-55B66D4EDAB8}">
      <text>
        <t>[Threaded comment]
Your version of Excel allows you to read this threaded comment; however, any edits to it will get removed if the file is opened in a newer version of Excel. Learn more: https://go.microsoft.com/fwlink/?linkid=870924
Comment:
    Arvutusloogika loomakasvatuse sektsioonist</t>
      </text>
    </comment>
    <comment ref="B61" authorId="4" shapeId="0" xr:uid="{2B6B345F-DF29-4913-B570-C1A8E84D3CCE}">
      <text>
        <t>[Threaded comment]
Your version of Excel allows you to read this threaded comment; however, any edits to it will get removed if the file is opened in a newer version of Excel. Learn more: https://go.microsoft.com/fwlink/?linkid=870924
Comment:
    Arvutusloogika loomakasvatusest</t>
      </text>
    </comment>
    <comment ref="C112" authorId="5" shapeId="0" xr:uid="{632AEF76-5B0C-49FC-BFD2-8F1BAA8EAC88}">
      <text>
        <t>[Threaded comment]
Your version of Excel allows you to read this threaded comment; however, any edits to it will get removed if the file is opened in a newer version of Excel. Learn more: https://go.microsoft.com/fwlink/?linkid=870924
Comment:
    broilerite ja noorlindude puhul 0</t>
      </text>
    </comment>
    <comment ref="B134" authorId="6" shapeId="0" xr:uid="{D6A3D8FB-46AF-4772-B8FF-BB97020A2675}">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140" authorId="7" shapeId="0" xr:uid="{FCE06299-1FF0-4521-A454-CF93F34A4494}">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146" authorId="8" shapeId="0" xr:uid="{70B1ACE3-0176-4AE8-9644-0296D5D38E16}">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154" authorId="9" shapeId="0" xr:uid="{F71C0555-45E8-45D1-990C-B921685886D8}">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159" authorId="10" shapeId="0" xr:uid="{484ED5A3-A091-4748-8315-B25075A4C101}">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162" authorId="11" shapeId="0" xr:uid="{D0A2297D-0B42-4F06-9073-A997875A0FE3}">
      <text>
        <t>[Threaded comment]
Your version of Excel allows you to read this threaded comment; however, any edits to it will get removed if the file is opened in a newer version of Excel. Learn more: https://go.microsoft.com/fwlink/?linkid=870924
Comment:
    söötmispäev on kõik päevad, mil loom on karjas või lind lindlas, välja arvatud tema karjast väljaviimise päev.</t>
      </text>
    </comment>
    <comment ref="C182" authorId="12" shapeId="0" xr:uid="{F229F974-FD55-4515-99EF-6FFD39D05062}">
      <text>
        <t>[Threaded comment]
Your version of Excel allows you to read this threaded comment; however, any edits to it will get removed if the file is opened in a newer version of Excel. Learn more: https://go.microsoft.com/fwlink/?linkid=870924
Comment:
    broilerite ja noorlindude puhul 0</t>
      </text>
    </comment>
    <comment ref="B204" authorId="13" shapeId="0" xr:uid="{58C1D7FF-A780-4EB7-9101-9271DE27A8C3}">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210" authorId="14" shapeId="0" xr:uid="{84066085-A29C-41EE-A6CA-87F8092F18E1}">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216" authorId="15" shapeId="0" xr:uid="{8632E94E-07E4-4545-8644-E0F53814301B}">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224" authorId="16" shapeId="0" xr:uid="{D5450074-66EC-41F6-8B6F-98383824AF0E}">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229" authorId="17" shapeId="0" xr:uid="{4D870D93-7933-4EA9-90CF-C89D7825A491}">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232" authorId="18" shapeId="0" xr:uid="{AEFA6513-7E98-4751-B4C8-82B14BE27C5F}">
      <text>
        <t>[Threaded comment]
Your version of Excel allows you to read this threaded comment; however, any edits to it will get removed if the file is opened in a newer version of Excel. Learn more: https://go.microsoft.com/fwlink/?linkid=870924
Comment:
    söötmispäev on kõik päevad, mil loom on karjas või lind lindlas, välja arvatud tema karjast väljaviimise päev.</t>
      </text>
    </comment>
    <comment ref="C259" authorId="19" shapeId="0" xr:uid="{74EA1A58-C9AB-4E2A-BCDD-24C46AA84F89}">
      <text>
        <t>[Threaded comment]
Your version of Excel allows you to read this threaded comment; however, any edits to it will get removed if the file is opened in a newer version of Excel. Learn more: https://go.microsoft.com/fwlink/?linkid=870924
Comment:
    arvestuslik keskmine juurdekasv piimalehmade puhul 60 kg aastas; täiskasvanud suguemiste puhul see arvestuslikult 0.</t>
      </text>
    </comment>
    <comment ref="C264" authorId="20" shapeId="0" xr:uid="{1E0AEAF4-C1A2-42E8-98A3-756DA5B709E2}">
      <text>
        <t>[Threaded comment]
Your version of Excel allows you to read this threaded comment; however, any edits to it will get removed if the file is opened in a newer version of Excel. Learn more: https://go.microsoft.com/fwlink/?linkid=870924
Comment:
    iga aastalehma kohta 0,6 vasikat massiga 40 kg.</t>
      </text>
    </comment>
    <comment ref="B286" authorId="21" shapeId="0" xr:uid="{72BE85AC-A925-4A0F-9BC3-6C40D84A6DC5}">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292" authorId="22" shapeId="0" xr:uid="{F9D6BEFD-DF39-4C63-85DF-415C57A41A3A}">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314" authorId="23" shapeId="0" xr:uid="{53C90EB8-FF11-4523-A5E8-5DEE12677528}">
      <text>
        <t>[Threaded comment]
Your version of Excel allows you to read this threaded comment; however, any edits to it will get removed if the file is opened in a newer version of Excel. Learn more: https://go.microsoft.com/fwlink/?linkid=870924
Comment:
    söötmispäev on kõik päevad, mil loom on karjas või lind lindlas, välja arvatud tema karjast väljaviimise päev.</t>
      </text>
    </comment>
    <comment ref="C334" authorId="24" shapeId="0" xr:uid="{C01B9E3E-131F-487B-A9AA-457A93007FA9}">
      <text>
        <t>[Threaded comment]
Your version of Excel allows you to read this threaded comment; however, any edits to it will get removed if the file is opened in a newer version of Excel. Learn more: https://go.microsoft.com/fwlink/?linkid=870924
Comment:
    arvestuslik keskmine juurdekasv piimalehmade puhul 60 kg aastas; täiskasvanud suguemiste puhul see arvestuslikult 0.</t>
      </text>
    </comment>
    <comment ref="C339" authorId="25" shapeId="0" xr:uid="{82FB26D7-98E1-4682-82FC-24C690B2C862}">
      <text>
        <t>[Threaded comment]
Your version of Excel allows you to read this threaded comment; however, any edits to it will get removed if the file is opened in a newer version of Excel. Learn more: https://go.microsoft.com/fwlink/?linkid=870924
Comment:
    iga aastalehma kohta 0,6 vasikat massiga 40 kg.</t>
      </text>
    </comment>
    <comment ref="B433" authorId="26" shapeId="0" xr:uid="{6829A416-2778-47B2-8EFF-D8B67CBAB3CF}">
      <text>
        <t>[Threaded comment]
Your version of Excel allows you to read this threaded comment; however, any edits to it will get removed if the file is opened in a newer version of Excel. Learn more: https://go.microsoft.com/fwlink/?linkid=870924
Comment:
    vaikeväärtus on 0,01</t>
      </text>
    </comment>
    <comment ref="B471" authorId="27" shapeId="0" xr:uid="{13483815-4402-45CA-B3B0-4E155FB49FF9}">
      <text>
        <t>[Threaded comment]
Your version of Excel allows you to read this threaded comment; however, any edits to it will get removed if the file is opened in a newer version of Excel. Learn more: https://go.microsoft.com/fwlink/?linkid=870924
Comment:
    vaikeväärtus on 0,01</t>
      </text>
    </comment>
    <comment ref="B508" authorId="28" shapeId="0" xr:uid="{444058D2-FD4E-47C8-92F5-3267E8FF04F6}">
      <text>
        <t>[Threaded comment]
Your version of Excel allows you to read this threaded comment; however, any edits to it will get removed if the file is opened in a newer version of Excel. Learn more: https://go.microsoft.com/fwlink/?linkid=870924
Comment:
    vaikeväärtus on 0,01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tc={3AA93782-0BE7-47CE-A735-951896D49DF9}</author>
    <author>tc={1EC967DB-C727-4E6C-9577-EDE0BD40B2A0}</author>
    <author>tc={0BABB8D7-F4BF-4662-BAF8-DF14CAFCBF52}</author>
    <author>tc={E7A9CBA8-98CE-45A8-A9D4-E2CB5366E7C5}</author>
    <author>tc={C1CFBEFC-A052-4435-8AD1-B2BF7B90665C}</author>
    <author>tc={83CAD8EA-3FD3-4BB4-98BC-B8BA645A975A}</author>
    <author>tc={29534B77-351A-4930-ABE9-1A0205AC64AF}</author>
    <author>tc={6944F431-28B1-43D9-BDC9-9C83716C619C}</author>
    <author>tc={E26BC856-9724-47E2-A9E8-039BE52BD308}</author>
    <author>tc={32EE6152-ED19-4F19-B4CC-760C5D30C2B0}</author>
    <author>tc={D9346A8F-D4EB-4459-B42B-C3FC861F8A2C}</author>
    <author>tc={D4946942-2D69-471F-81B3-5824748ECFFE}</author>
    <author>tc={4C530F84-53F6-458A-B3F2-D89CE4D0DB7D}</author>
    <author>tc={1D399603-8CA4-4DCF-A8C5-6F054E014D21}</author>
    <author>tc={EFFB82CA-323F-4E12-A86F-68194B9112E9}</author>
    <author>tc={4D2B6ACB-FE22-44E7-ABFE-02E00E6FB934}</author>
    <author>tc={062F4A05-25A4-49CB-AA07-9B51C0896184}</author>
    <author>tc={7F066715-D506-4386-882E-5C90C43EA3D6}</author>
    <author>tc={B7F7125F-D135-47DC-A3CE-ABAAB8648F26}</author>
    <author>tc={2755F7DC-DE96-4BBE-B4C7-C578317C7757}</author>
  </authors>
  <commentList>
    <comment ref="B185" authorId="0" shapeId="0" xr:uid="{3AA93782-0BE7-47CE-A735-951896D49DF9}">
      <text>
        <t>[Threaded comment]
Your version of Excel allows you to read this threaded comment; however, any edits to it will get removed if the file is opened in a newer version of Excel. Learn more: https://go.microsoft.com/fwlink/?linkid=870924
Comment:
    arvestuslik keskmine juurdekasv piimalehmade puhul 60 kg aastas; täiskasvanud suguemiste puhul see arvestuslikult 0.</t>
      </text>
    </comment>
    <comment ref="AA185" authorId="1" shapeId="0" xr:uid="{1EC967DB-C727-4E6C-9577-EDE0BD40B2A0}">
      <text>
        <t>[Threaded comment]
Your version of Excel allows you to read this threaded comment; however, any edits to it will get removed if the file is opened in a newer version of Excel. Learn more: https://go.microsoft.com/fwlink/?linkid=870924
Comment:
    arvestuslik keskmine juurdekasv piimalehmade puhul 60 kg aastas; täiskasvanud suguemiste puhul see arvestuslikult 0.</t>
      </text>
    </comment>
    <comment ref="AZ185" authorId="2" shapeId="0" xr:uid="{0BABB8D7-F4BF-4662-BAF8-DF14CAFCBF52}">
      <text>
        <t>[Threaded comment]
Your version of Excel allows you to read this threaded comment; however, any edits to it will get removed if the file is opened in a newer version of Excel. Learn more: https://go.microsoft.com/fwlink/?linkid=870924
Comment:
    arvestuslik keskmine juurdekasv piimalehmade puhul 60 kg aastas; täiskasvanud suguemiste puhul see arvestuslikult 0.</t>
      </text>
    </comment>
    <comment ref="B190" authorId="3" shapeId="0" xr:uid="{E7A9CBA8-98CE-45A8-A9D4-E2CB5366E7C5}">
      <text>
        <t>[Threaded comment]
Your version of Excel allows you to read this threaded comment; however, any edits to it will get removed if the file is opened in a newer version of Excel. Learn more: https://go.microsoft.com/fwlink/?linkid=870924
Comment:
    iga aastalehma kohta 0,6 vasikat massiga 40 kg.</t>
      </text>
    </comment>
    <comment ref="AA190" authorId="4" shapeId="0" xr:uid="{C1CFBEFC-A052-4435-8AD1-B2BF7B90665C}">
      <text>
        <t>[Threaded comment]
Your version of Excel allows you to read this threaded comment; however, any edits to it will get removed if the file is opened in a newer version of Excel. Learn more: https://go.microsoft.com/fwlink/?linkid=870924
Comment:
    iga aastalehma kohta 0,6 vasikat massiga 40 kg.</t>
      </text>
    </comment>
    <comment ref="AZ190" authorId="5" shapeId="0" xr:uid="{83CAD8EA-3FD3-4BB4-98BC-B8BA645A975A}">
      <text>
        <t>[Threaded comment]
Your version of Excel allows you to read this threaded comment; however, any edits to it will get removed if the file is opened in a newer version of Excel. Learn more: https://go.microsoft.com/fwlink/?linkid=870924
Comment:
    iga aastalehma kohta 0,6 vasikat massiga 40 kg.</t>
      </text>
    </comment>
    <comment ref="A212" authorId="6" shapeId="0" xr:uid="{29534B77-351A-4930-ABE9-1A0205AC64AF}">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Z212" authorId="7" shapeId="0" xr:uid="{6944F431-28B1-43D9-BDC9-9C83716C619C}">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AY212" authorId="8" shapeId="0" xr:uid="{E26BC856-9724-47E2-A9E8-039BE52BD308}">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A218" authorId="9" shapeId="0" xr:uid="{32EE6152-ED19-4F19-B4CC-760C5D30C2B0}">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Z218" authorId="10" shapeId="0" xr:uid="{D9346A8F-D4EB-4459-B42B-C3FC861F8A2C}">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AY218" authorId="11" shapeId="0" xr:uid="{D4946942-2D69-471F-81B3-5824748ECFFE}">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A240" authorId="12" shapeId="0" xr:uid="{4C530F84-53F6-458A-B3F2-D89CE4D0DB7D}">
      <text>
        <t>[Threaded comment]
Your version of Excel allows you to read this threaded comment; however, any edits to it will get removed if the file is opened in a newer version of Excel. Learn more: https://go.microsoft.com/fwlink/?linkid=870924
Comment:
    söötmispäev on kõik päevad, mil loom on karjas või lind lindlas, välja arvatud tema karjast väljaviimise päev.</t>
      </text>
    </comment>
    <comment ref="Z240" authorId="13" shapeId="0" xr:uid="{1D399603-8CA4-4DCF-A8C5-6F054E014D21}">
      <text>
        <t>[Threaded comment]
Your version of Excel allows you to read this threaded comment; however, any edits to it will get removed if the file is opened in a newer version of Excel. Learn more: https://go.microsoft.com/fwlink/?linkid=870924
Comment:
    söötmispäev on kõik päevad, mil loom on karjas või lind lindlas, välja arvatud tema karjast väljaviimise päev.</t>
      </text>
    </comment>
    <comment ref="AY240" authorId="14" shapeId="0" xr:uid="{EFFB82CA-323F-4E12-A86F-68194B9112E9}">
      <text>
        <t>[Threaded comment]
Your version of Excel allows you to read this threaded comment; however, any edits to it will get removed if the file is opened in a newer version of Excel. Learn more: https://go.microsoft.com/fwlink/?linkid=870924
Comment:
    söötmispäev on kõik päevad, mil loom on karjas või lind lindlas, välja arvatud tema karjast väljaviimise päev.</t>
      </text>
    </comment>
    <comment ref="A284" authorId="15" shapeId="0" xr:uid="{4D2B6ACB-FE22-44E7-ABFE-02E00E6FB934}">
      <text>
        <t>[Threaded comment]
Your version of Excel allows you to read this threaded comment; however, any edits to it will get removed if the file is opened in a newer version of Excel. Learn more: https://go.microsoft.com/fwlink/?linkid=870924
Comment:
    vaikeväärtus on 0,01</t>
      </text>
    </comment>
    <comment ref="M284" authorId="16" shapeId="0" xr:uid="{062F4A05-25A4-49CB-AA07-9B51C0896184}">
      <text>
        <t>[Threaded comment]
Your version of Excel allows you to read this threaded comment; however, any edits to it will get removed if the file is opened in a newer version of Excel. Learn more: https://go.microsoft.com/fwlink/?linkid=870924
Comment:
    vaikeväärtus on 0,01</t>
      </text>
    </comment>
    <comment ref="Z284" authorId="17" shapeId="0" xr:uid="{7F066715-D506-4386-882E-5C90C43EA3D6}">
      <text>
        <t>[Threaded comment]
Your version of Excel allows you to read this threaded comment; however, any edits to it will get removed if the file is opened in a newer version of Excel. Learn more: https://go.microsoft.com/fwlink/?linkid=870924
Comment:
    vaikeväärtus on 0,01</t>
      </text>
    </comment>
    <comment ref="M288" authorId="18" shapeId="0" xr:uid="{B7F7125F-D135-47DC-A3CE-ABAAB8648F26}">
      <text>
        <t>[Threaded comment]
Your version of Excel allows you to read this threaded comment; however, any edits to it will get removed if the file is opened in a newer version of Excel. Learn more: https://go.microsoft.com/fwlink/?linkid=870924
Comment:
    vaikeväärtus on 0,01</t>
      </text>
    </comment>
    <comment ref="Z288" authorId="19" shapeId="0" xr:uid="{2755F7DC-DE96-4BBE-B4C7-C578317C7757}">
      <text>
        <t>[Threaded comment]
Your version of Excel allows you to read this threaded comment; however, any edits to it will get removed if the file is opened in a newer version of Excel. Learn more: https://go.microsoft.com/fwlink/?linkid=870924
Comment:
    vaikeväärtus on 0,01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tc={F4A743D9-B13C-43B9-A52F-6557A1FFA6E3}</author>
    <author>tc={002CBB66-8DC6-492A-8786-4D61A2E9B0B6}</author>
    <author>tc={CB0D51FE-FE5B-4C2C-B8AB-D8AC5EDDA688}</author>
  </authors>
  <commentList>
    <comment ref="U19" authorId="0" shapeId="0" xr:uid="{F4A743D9-B13C-43B9-A52F-6557A1FFA6E3}">
      <text>
        <t>[Threaded comment]
Your version of Excel allows you to read this threaded comment; however, any edits to it will get removed if the file is opened in a newer version of Excel. Learn more: https://go.microsoft.com/fwlink/?linkid=870924
Comment:
    Ei kasuta hetkel, kui raporteeritakse juba kuivainena</t>
      </text>
    </comment>
    <comment ref="J42" authorId="1" shapeId="0" xr:uid="{002CBB66-8DC6-492A-8786-4D61A2E9B0B6}">
      <text>
        <t xml:space="preserve">[Threaded comment]
Your version of Excel allows you to read this threaded comment; however, any edits to it will get removed if the file is opened in a newer version of Excel. Learn more: https://go.microsoft.com/fwlink/?linkid=870924
Comment:
    Ei kasuta hetkel, kui raporteeritakse juba KA
</t>
      </text>
    </comment>
    <comment ref="B43" authorId="2" shapeId="0" xr:uid="{CB0D51FE-FE5B-4C2C-B8AB-D8AC5EDDA688}">
      <text>
        <t>[Threaded comment]
Your version of Excel allows you to read this threaded comment; however, any edits to it will get removed if the file is opened in a newer version of Excel. Learn more: https://go.microsoft.com/fwlink/?linkid=870924
Comment:
    "pasture ground"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tc={3D341D67-D50B-4799-A208-424AEF014327}</author>
    <author>tc={5998BC53-269A-474C-8EAF-22C04DD73ADF}</author>
    <author>tc={DFD25720-0D8E-4099-8AEC-759C30C7732E}</author>
    <author>tc={FBE5D664-D1FB-4E8F-843B-BBFE42381D83}</author>
    <author>tc={C1F69000-1F82-4817-938E-33F58D476FF2}</author>
    <author>tc={CD7D7F26-B0FB-44D2-B8AD-B8556CE1C5CA}</author>
    <author>tc={CA17A74A-779F-4218-A266-8D239310027B}</author>
    <author>tc={0F58B0A0-D4C1-4C90-8A37-7408CB4B0DEA}</author>
    <author>tc={25D78321-B1BD-443E-89F5-261B0EEAA25E}</author>
    <author>tc={7E32C1DC-BF3F-4911-825F-1D2456D44D7F}</author>
    <author>tc={9338C5AF-8A07-47CF-BC7E-A4D528E6D085}</author>
    <author>tc={896F3694-E72D-4DFD-BA61-A011B3ACCC21}</author>
  </authors>
  <commentList>
    <comment ref="K28" authorId="0" shapeId="0" xr:uid="{3D341D67-D50B-4799-A208-424AEF014327}">
      <text>
        <t>[Threaded comment]
Your version of Excel allows you to read this threaded comment; however, any edits to it will get removed if the file is opened in a newer version of Excel. Learn more: https://go.microsoft.com/fwlink/?linkid=870924
Comment:
    siia on veel lisandumas sõnniku arvutusloogikad. need lisame pärast loomakasvatuse läbitöötamist</t>
      </text>
    </comment>
    <comment ref="A34" authorId="1" shapeId="0" xr:uid="{5998BC53-269A-474C-8EAF-22C04DD73ADF}">
      <text>
        <t>[Threaded comment]
Your version of Excel allows you to read this threaded comment; however, any edits to it will get removed if the file is opened in a newer version of Excel. Learn more: https://go.microsoft.com/fwlink/?linkid=870924
Comment:
    see on hetkel kõrvale jäetud, kuna ei ole Eesti kontekstis asjakohane
Reply:
    NIR 2023: In 2021, N2O emissions from mineralization of the loss of soil organic matter did not occur. Since 1990, the emissions have occurred only in 1991 and 1992, respective amounts of N2O were 0.024 and 0.008 kt. In other years, since 1990, the carbon stock in mineral soils has increased compared to the previous year and thus the N2O emissions have not occurred. N2O emissions are being reported only about the years when carbon stock in mineral soils has decreased compared to the previous year (lk 275).</t>
      </text>
    </comment>
    <comment ref="T34" authorId="2" shapeId="0" xr:uid="{DFD25720-0D8E-4099-8AEC-759C30C7732E}">
      <text>
        <t>[Threaded comment]
Your version of Excel allows you to read this threaded comment; however, any edits to it will get removed if the file is opened in a newer version of Excel. Learn more: https://go.microsoft.com/fwlink/?linkid=870924
Comment:
    lahendaks selle nii, et põllumajandustootja sisestab eraldi pindala iga kultuuri kohta, juhtudele, kus  eemaldatakse seeme ja põhk ning kus ainult seeme.</t>
      </text>
    </comment>
    <comment ref="A41" authorId="3" shapeId="0" xr:uid="{FBE5D664-D1FB-4E8F-843B-BBFE42381D83}">
      <text>
        <t>[Threaded comment]
Your version of Excel allows you to read this threaded comment; however, any edits to it will get removed if the file is opened in a newer version of Excel. Learn more: https://go.microsoft.com/fwlink/?linkid=870924
Comment:
    IPCC 2006: Grassland -  according to the national definition, this category includes rangelands and pastureland that is not considered Cropland nor Forest land: land with perennial grasses that is proper for mow and pasture, smaller fallows and former cultural grasslands that have lost arable land features and Grassland from wild lands (‘natural grassland’). An overgrown wooded pasture with a canopy cover between 30 and 50% is classified as Grassland or forest, depending on the mainland-use purpose.</t>
      </text>
    </comment>
    <comment ref="A46" authorId="4" shapeId="0" xr:uid="{C1F69000-1F82-4817-938E-33F58D476FF2}">
      <text>
        <t>[Threaded comment]
Your version of Excel allows you to read this threaded comment; however, any edits to it will get removed if the file is opened in a newer version of Excel. Learn more: https://go.microsoft.com/fwlink/?linkid=870924
Comment:
    Arvutusloogika loomakasvatuse sektsioonist</t>
      </text>
    </comment>
    <comment ref="T46" authorId="5" shapeId="0" xr:uid="{CD7D7F26-B0FB-44D2-B8AD-B8556CE1C5CA}">
      <text>
        <t>[Threaded comment]
Your version of Excel allows you to read this threaded comment; however, any edits to it will get removed if the file is opened in a newer version of Excel. Learn more: https://go.microsoft.com/fwlink/?linkid=870924
Comment:
    lahendaks selle nii, et põllumajandustootja sisestab eraldi pindala iga kultuuri kohta, juhtudele, kus  eemaldatakse seeme ja põhk ning kus ainult seeme.</t>
      </text>
    </comment>
    <comment ref="A47" authorId="6" shapeId="0" xr:uid="{CA17A74A-779F-4218-A266-8D239310027B}">
      <text>
        <t>[Threaded comment]
Your version of Excel allows you to read this threaded comment; however, any edits to it will get removed if the file is opened in a newer version of Excel. Learn more: https://go.microsoft.com/fwlink/?linkid=870924
Comment:
    Arvutusloogika loomakasvatusest</t>
      </text>
    </comment>
    <comment ref="H49" authorId="7" shapeId="0" xr:uid="{0F58B0A0-D4C1-4C90-8A37-7408CB4B0DEA}">
      <text>
        <t>[Threaded comment]
Your version of Excel allows you to read this threaded comment; however, any edits to it will get removed if the file is opened in a newer version of Excel. Learn more: https://go.microsoft.com/fwlink/?linkid=870924
Comment:
    lisandub pärast loomakasvatuse läbitöötamist</t>
      </text>
    </comment>
    <comment ref="U55" authorId="8" shapeId="0" xr:uid="{25D78321-B1BD-443E-89F5-261B0EEAA25E}">
      <text>
        <t>[Threaded comment]
Your version of Excel allows you to read this threaded comment; however, any edits to it will get removed if the file is opened in a newer version of Excel. Learn more: https://go.microsoft.com/fwlink/?linkid=870924
Comment:
    Emissioonide taimsetest jäänustest arvestatakse vaid uuendamisega püsirohumaade puhul! (IPCC 2006)</t>
      </text>
    </comment>
    <comment ref="T59" authorId="9" shapeId="0" xr:uid="{7E32C1DC-BF3F-4911-825F-1D2456D44D7F}">
      <text>
        <t>[Threaded comment]
Your version of Excel allows you to read this threaded comment; however, any edits to it will get removed if the file is opened in a newer version of Excel. Learn more: https://go.microsoft.com/fwlink/?linkid=870924
Comment:
    lahendaks selle nii, et põllumajandustootja sisestab eraldi pindala iga kultuuri kohta, juhtudele, kus  eemaldatakse seeme ja põhk ning kus ainult seeme.</t>
      </text>
    </comment>
    <comment ref="A82" authorId="10" shapeId="0" xr:uid="{9338C5AF-8A07-47CF-BC7E-A4D528E6D085}">
      <text>
        <t>[Threaded comment]
Your version of Excel allows you to read this threaded comment; however, any edits to it will get removed if the file is opened in a newer version of Excel. Learn more: https://go.microsoft.com/fwlink/?linkid=870924
Comment:
    see on hetkel kõrvale jäetud</t>
      </text>
    </comment>
    <comment ref="B92" authorId="11" shapeId="0" xr:uid="{896F3694-E72D-4DFD-BA61-A011B3ACCC21}">
      <text>
        <t>[Threaded comment]
Your version of Excel allows you to read this threaded comment; however, any edits to it will get removed if the file is opened in a newer version of Excel. Learn more: https://go.microsoft.com/fwlink/?linkid=870924
Comment:
    See on keskmine. Eristab veel ka sünteetiliste väetiste alusel:
uurea - 0,15
ammooniumbaasil väetis - 0,08
nitraatbaasil väetis - 0,01
AN-baasil väetis - 0,05
Reply:
    Keskmine on arvutatud maailmas enimkasutatud väetiste osakaalusid arvesse võttes.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tc={3BD751E2-AABB-494F-91B9-E3FA780FD22F}</author>
    <author>tc={B1F6B681-A3AB-45E2-B497-14939C1C1AB3}</author>
    <author>tc={ADA86B7D-2767-42E4-A654-C3CEB71DDC5D}</author>
  </authors>
  <commentList>
    <comment ref="B24" authorId="0" shapeId="0" xr:uid="{3BD751E2-AABB-494F-91B9-E3FA780FD22F}">
      <text>
        <t>[Threaded comment]
Your version of Excel allows you to read this threaded comment; however, any edits to it will get removed if the file is opened in a newer version of Excel. Learn more: https://go.microsoft.com/fwlink/?linkid=870924
Comment:
    See on keskmine. Eristab veel ka sünteetiliste väetiste alusel:
uurea - 0,15
ammooniumbaasil väetis - 0,08
nitraatbaasil väetis - 0,01
AN-baasil väetis - 0,05
Reply:
    Keskmine on arvutatud maailmas enimkasutatud väetiste osakaalusid arvesse võttes.</t>
      </text>
    </comment>
    <comment ref="A66" authorId="1" shapeId="0" xr:uid="{B1F6B681-A3AB-45E2-B497-14939C1C1AB3}">
      <text>
        <t>[Threaded comment]
Your version of Excel allows you to read this threaded comment; however, any edits to it will get removed if the file is opened in a newer version of Excel. Learn more: https://go.microsoft.com/fwlink/?linkid=870924
Comment:
    mitte liblikõielised</t>
      </text>
    </comment>
    <comment ref="A80" authorId="2" shapeId="0" xr:uid="{ADA86B7D-2767-42E4-A654-C3CEB71DDC5D}">
      <text>
        <t>[Threaded comment]
Your version of Excel allows you to read this threaded comment; however, any edits to it will get removed if the file is opened in a newer version of Excel. Learn more: https://go.microsoft.com/fwlink/?linkid=870924
Comment:
    "pasture ground"</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tc={B5338881-4B99-4249-A204-0A8FCD2C6229}</author>
    <author>tc={DC9E8B77-8310-40CB-99FF-2800F765107F}</author>
    <author>tc={E47EDDD3-BF46-40EE-B3FC-DC29E8489144}</author>
    <author>tc={392C751D-6667-4E15-BA59-63FF81091B4E}</author>
    <author>tc={A025A6EC-5994-474D-90E6-FB318050F535}</author>
    <author>tc={0B69F3AB-B349-4FBD-8F02-47673B6E13E1}</author>
    <author>tc={1C8C7539-FB34-4703-9BA4-02F1B2AE3988}</author>
    <author>tc={1B8AB896-2583-4290-9A29-90D983B2F78A}</author>
    <author>tc={0E7576AF-CB1B-4A08-8149-0E0DACC4EA8D}</author>
    <author>tc={36F86538-A832-47A2-90DC-B26E395CFFBD}</author>
    <author>tc={F51FA82D-AF41-42D8-86B3-E8F6AAC3A2D7}</author>
    <author>tc={EE72443B-316C-4858-99FA-D95473ADA6A3}</author>
    <author>tc={80E969A9-E9F2-4815-B6A1-D4DA32D6B522}</author>
    <author>tc={FCE979E1-246E-4F07-A47A-23EE347D2A60}</author>
    <author>tc={7D058325-19BB-4B45-B29F-983ED621D393}</author>
    <author>tc={31AD8CAD-E482-4017-A09E-682DD3970E9D}</author>
    <author>tc={A82AE050-C069-4E3A-A06B-CA705F54F649}</author>
    <author>tc={47EFAFA2-8651-445B-BBFD-204F36E87E10}</author>
    <author>tc={DF108831-151C-445D-B34D-531A2BCDD6E8}</author>
    <author>tc={41077727-AF1D-4704-8EA1-E105C48E27C0}</author>
    <author>tc={F25C4A18-4C01-4A21-B36D-A78AC2B4E9D8}</author>
    <author>tc={00C6E139-ABB4-46F1-83F8-1EA5C84B234D}</author>
    <author>tc={9FF61FE8-AAA3-471B-B5C3-81745C2D32F4}</author>
    <author>tc={884EA7ED-7CA9-4F67-A450-720BAA3F4869}</author>
    <author>tc={D3154FC6-280E-4442-B6B3-017182EEC4F8}</author>
    <author>tc={6795FB61-58D5-4EF3-999A-352A75187FEA}</author>
    <author>tc={352CACF6-A776-4BC9-96EB-FA86A79F3460}</author>
    <author>tc={C95B766C-25F9-40B5-B5FD-1AFE2692CAC6}</author>
    <author>tc={8797A177-D952-4C22-BE28-3DCFE1D29E14}</author>
  </authors>
  <commentList>
    <comment ref="O39" authorId="0" shapeId="0" xr:uid="{B5338881-4B99-4249-A204-0A8FCD2C6229}">
      <text>
        <t>[Threaded comment]
Your version of Excel allows you to read this threaded comment; however, any edits to it will get removed if the file is opened in a newer version of Excel. Learn more: https://go.microsoft.com/fwlink/?linkid=870924
Comment:
    IPCC 2006: The manure from pasture and range grazing animals is allowed to lie as deposited, and is not
managed.</t>
      </text>
    </comment>
    <comment ref="O40" authorId="1" shapeId="0" xr:uid="{DC9E8B77-8310-40CB-99FF-2800F765107F}">
      <text>
        <t>[Threaded comment]
Your version of Excel allows you to read this threaded comment; however, any edits to it will get removed if the file is opened in a newer version of Excel. Learn more: https://go.microsoft.com/fwlink/?linkid=870924
Comment:
    IPCC 2006: Manure is routinely removed from a confinement facility and is applied to cropland or pasture
within 24 hours of excretion.</t>
      </text>
    </comment>
    <comment ref="O41" authorId="2" shapeId="0" xr:uid="{E47EDDD3-BF46-40EE-B3FC-DC29E8489144}">
      <text>
        <t>[Threaded comment]
Your version of Excel allows you to read this threaded comment; however, any edits to it will get removed if the file is opened in a newer version of Excel. Learn more: https://go.microsoft.com/fwlink/?linkid=870924
Comment:
    The storage of manure, typically for a period of several months, in unconfined piles or stacks.
Manure is able to be stacked due to the presence of a sufficient amount of bedding material or
loss of moisture by evaporation.</t>
      </text>
    </comment>
    <comment ref="O42" authorId="3" shapeId="0" xr:uid="{392C751D-6667-4E15-BA59-63FF81091B4E}">
      <text>
        <t>[Threaded comment]
Your version of Excel allows you to read this threaded comment; however, any edits to it will get removed if the file is opened in a newer version of Excel. Learn more: https://go.microsoft.com/fwlink/?linkid=870924
Comment:
    A paved or unpaved open confinement area without any significant vegetative cover where
accumulating manure may be removed periodically</t>
      </text>
    </comment>
    <comment ref="O43" authorId="4" shapeId="0" xr:uid="{A025A6EC-5994-474D-90E6-FB318050F535}">
      <text>
        <t>[Threaded comment]
Your version of Excel allows you to read this threaded comment; however, any edits to it will get removed if the file is opened in a newer version of Excel. Learn more: https://go.microsoft.com/fwlink/?linkid=870924
Comment:
    Manure is stored as excreted or with some minimal addition of water in either tanks or earthen
ponds outside the animal housing, usually for periods less than one year
Reply:
    IPCC 2019: või kattega</t>
      </text>
    </comment>
    <comment ref="O45" authorId="5" shapeId="0" xr:uid="{0B69F3AB-B349-4FBD-8F02-47673B6E13E1}">
      <text>
        <t>[Threaded comment]
Your version of Excel allows you to read this threaded comment; however, any edits to it will get removed if the file is opened in a newer version of Excel. Learn more: https://go.microsoft.com/fwlink/?linkid=870924
Comment:
    A type of liquid storage system designed and operated to combine waste stabilization and
storage. Lagoon supernatant is usually used to remove manure from the associated confinement
facilities to the lagoon. Anaerobic lagoons are designed with varying lengths of storage (up to a
year or greater), depending on the climate region, the volatile solids loading rate, and other
operational factors. The water from the lagoon may be recycled as flush water or used to irrigate
and fertilise fields.</t>
      </text>
    </comment>
    <comment ref="O48" authorId="6" shapeId="0" xr:uid="{1C8C7539-FB34-4703-9BA4-02F1B2AE3988}">
      <text>
        <t>[Threaded comment]
Your version of Excel allows you to read this threaded comment; however, any edits to it will get removed if the file is opened in a newer version of Excel. Learn more: https://go.microsoft.com/fwlink/?linkid=870924
Comment:
    Animal excreta with or without straw are collected and anaerobically digested in a large
containment vessel or covered lagoon. Digesters are designed and operated for waste
stabilization by the microbial reduction of complex organic compounds to CO2 and CH4, which
is captured and flared or used as a fuel.</t>
      </text>
    </comment>
    <comment ref="O49" authorId="7" shapeId="0" xr:uid="{1B8AB896-2583-4290-9A29-90D983B2F78A}">
      <text>
        <t>[Threaded comment]
Your version of Excel allows you to read this threaded comment; however, any edits to it will get removed if the file is opened in a newer version of Excel. Learn more: https://go.microsoft.com/fwlink/?linkid=870924
Comment:
    Composting, typically in an enclosed channel, with forced aeration and continuous mixing. 
Composting in piles with forced aeration but no mixing.</t>
      </text>
    </comment>
    <comment ref="O50" authorId="8" shapeId="0" xr:uid="{0E7576AF-CB1B-4A08-8149-0E0DACC4EA8D}">
      <text>
        <t>[Threaded comment]
Your version of Excel allows you to read this threaded comment; however, any edits to it will get removed if the file is opened in a newer version of Excel. Learn more: https://go.microsoft.com/fwlink/?linkid=870924
Comment:
    Composting in windrows with regular (at least daily) turning for mixing and aeration.
Composting in windrows with infrequent turning for mixing and aeration.</t>
      </text>
    </comment>
    <comment ref="B69" authorId="9" shapeId="0" xr:uid="{36F86538-A832-47A2-90DC-B26E395CFFBD}">
      <text>
        <t>[Threaded comment]
Your version of Excel allows you to read this threaded comment; however, any edits to it will get removed if the file is opened in a newer version of Excel. Learn more: https://go.microsoft.com/fwlink/?linkid=870924
Comment:
    vaikeväärtus on 0,01</t>
      </text>
    </comment>
    <comment ref="U95" authorId="10" shapeId="0" xr:uid="{F51FA82D-AF41-42D8-86B3-E8F6AAC3A2D7}">
      <text>
        <t>[Threaded comment]
Your version of Excel allows you to read this threaded comment; however, any edits to it will get removed if the file is opened in a newer version of Excel. Learn more: https://go.microsoft.com/fwlink/?linkid=870924
Comment:
    +/- 15%</t>
      </text>
    </comment>
    <comment ref="P107" authorId="11" shapeId="0" xr:uid="{EE72443B-316C-4858-99FA-D95473ADA6A3}">
      <text>
        <t>[Threaded comment]
Your version of Excel allows you to read this threaded comment; however, any edits to it will get removed if the file is opened in a newer version of Excel. Learn more: https://go.microsoft.com/fwlink/?linkid=870924
Comment:
    Similar to cattle and swine deep bedding except usually not combined with a dry lot or pasture.
Typically used for all poultry breeder flocks and for the production of meat type chickens
(broilers) and other fowl.</t>
      </text>
    </comment>
    <comment ref="P108" authorId="12" shapeId="0" xr:uid="{80E969A9-E9F2-4815-B6A1-D4DA32D6B522}">
      <text>
        <t>[Threaded comment]
Your version of Excel allows you to read this threaded comment; however, any edits to it will get removed if the file is opened in a newer version of Excel. Learn more: https://go.microsoft.com/fwlink/?linkid=870924
Comment:
    May be similar to open pits in enclosed animal confinement facilities or may be designed and
operated to dry the manure as it accumulates. The latter is known as a high-rise manure
management system and is a form of passive windrow composting when designed and operated
properly.</t>
      </text>
    </comment>
    <comment ref="P115" authorId="13" shapeId="0" xr:uid="{FCE979E1-246E-4F07-A47A-23EE347D2A60}">
      <text>
        <t>[Threaded comment]
Your version of Excel allows you to read this threaded comment; however, any edits to it will get removed if the file is opened in a newer version of Excel. Learn more: https://go.microsoft.com/fwlink/?linkid=870924
Comment:
    IPCC 2006: The manure from pasture and range grazing animals is allowed to lie as deposited, and is not
managed.</t>
      </text>
    </comment>
    <comment ref="P116" authorId="14" shapeId="0" xr:uid="{7D058325-19BB-4B45-B29F-983ED621D393}">
      <text>
        <t>[Threaded comment]
Your version of Excel allows you to read this threaded comment; however, any edits to it will get removed if the file is opened in a newer version of Excel. Learn more: https://go.microsoft.com/fwlink/?linkid=870924
Comment:
    Similar to cattle and swine deep bedding except usually not combined with a dry lot or pasture.
Typically used for all poultry breeder flocks and for the production of meat type chickens
(broilers) and other fowl.</t>
      </text>
    </comment>
    <comment ref="P117" authorId="15" shapeId="0" xr:uid="{31AD8CAD-E482-4017-A09E-682DD3970E9D}">
      <text>
        <t>[Threaded comment]
Your version of Excel allows you to read this threaded comment; however, any edits to it will get removed if the file is opened in a newer version of Excel. Learn more: https://go.microsoft.com/fwlink/?linkid=870924
Comment:
    May be similar to open pits in enclosed animal confinement facilities or may be designed and
operated to dry the manure as it accumulates. The latter is known as a high-rise manure
management system and is a form of passive windrow composting when designed and operated
properly.</t>
      </text>
    </comment>
    <comment ref="B142" authorId="16" shapeId="0" xr:uid="{A82AE050-C069-4E3A-A06B-CA705F54F649}">
      <text>
        <t>[Threaded comment]
Your version of Excel allows you to read this threaded comment; however, any edits to it will get removed if the file is opened in a newer version of Excel. Learn more: https://go.microsoft.com/fwlink/?linkid=870924
Comment:
    vaikeväärtus on 0,01</t>
      </text>
    </comment>
    <comment ref="B146" authorId="17" shapeId="0" xr:uid="{47EFAFA2-8651-445B-BBFD-204F36E87E10}">
      <text>
        <t>[Threaded comment]
Your version of Excel allows you to read this threaded comment; however, any edits to it will get removed if the file is opened in a newer version of Excel. Learn more: https://go.microsoft.com/fwlink/?linkid=870924
Comment:
    seda soovitatakse kasutada vaid juhul kui on riigipõhised andmed olemas, sest N leostumist sõnnikukäitlususüsteemist on väga keeruline prognoosida ja mõõtemääramatus võib olla suur</t>
      </text>
    </comment>
    <comment ref="B154" authorId="18" shapeId="0" xr:uid="{DF108831-151C-445D-B34D-531A2BCDD6E8}">
      <text>
        <t>[Threaded comment]
Your version of Excel allows you to read this threaded comment; however, any edits to it will get removed if the file is opened in a newer version of Excel. Learn more: https://go.microsoft.com/fwlink/?linkid=870924
Comment:
    tüüpiliselt 1-20% vahel</t>
      </text>
    </comment>
    <comment ref="B162" authorId="19" shapeId="0" xr:uid="{41077727-AF1D-4704-8EA1-E105C48E27C0}">
      <text>
        <t>[Threaded comment]
Your version of Excel allows you to read this threaded comment; however, any edits to it will get removed if the file is opened in a newer version of Excel. Learn more: https://go.microsoft.com/fwlink/?linkid=870924
Comment:
    vaikeväärtus on 0,011 (IPCC 2019)</t>
      </text>
    </comment>
    <comment ref="K186" authorId="20" shapeId="0" xr:uid="{F25C4A18-4C01-4A21-B36D-A78AC2B4E9D8}">
      <text>
        <t>[Threaded comment]
Your version of Excel allows you to read this threaded comment; however, any edits to it will get removed if the file is opened in a newer version of Excel. Learn more: https://go.microsoft.com/fwlink/?linkid=870924
Comment:
    söötmispäev on kõik päevad, mil loom on karjas või lind lindlas, välja arvatud tema karjast väljaviimise päev.</t>
      </text>
    </comment>
    <comment ref="B194" authorId="21" shapeId="0" xr:uid="{00C6E139-ABB4-46F1-83F8-1EA5C84B234D}">
      <text>
        <t>[Threaded comment]
Your version of Excel allows you to read this threaded comment; however, any edits to it will get removed if the file is opened in a newer version of Excel. Learn more: https://go.microsoft.com/fwlink/?linkid=870924
Comment:
    arvestuslik keskmine juurdekasv piimalehmade puhul 60 kg aastas; täiskasvanud suguemiste puhul see arvestuslikult 0.</t>
      </text>
    </comment>
    <comment ref="B202" authorId="22" shapeId="0" xr:uid="{9FF61FE8-AAA3-471B-B5C3-81745C2D32F4}">
      <text>
        <t>[Threaded comment]
Your version of Excel allows you to read this threaded comment; however, any edits to it will get removed if the file is opened in a newer version of Excel. Learn more: https://go.microsoft.com/fwlink/?linkid=870924
Comment:
    iga aastalehma kohta 0,6 vasikat massiga 40 kg.</t>
      </text>
    </comment>
    <comment ref="B216" authorId="23" shapeId="0" xr:uid="{884EA7ED-7CA9-4F67-A450-720BAA3F4869}">
      <text>
        <t>[Threaded comment]
Your version of Excel allows you to read this threaded comment; however, any edits to it will get removed if the file is opened in a newer version of Excel. Learn more: https://go.microsoft.com/fwlink/?linkid=870924
Comment:
    broilerite ja noorlindude puhul 0</t>
      </text>
    </comment>
    <comment ref="A238" authorId="24" shapeId="0" xr:uid="{D3154FC6-280E-4442-B6B3-017182EEC4F8}">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A247" authorId="25" shapeId="0" xr:uid="{6795FB61-58D5-4EF3-999A-352A75187FEA}">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A257" authorId="26" shapeId="0" xr:uid="{352CACF6-A776-4BC9-96EB-FA86A79F3460}">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A269" authorId="27" shapeId="0" xr:uid="{C95B766C-25F9-40B5-B5FD-1AFE2692CAC6}">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A277" authorId="28" shapeId="0" xr:uid="{8797A177-D952-4C22-BE28-3DCFE1D29E14}">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tc={0783A818-2BDA-4E4E-8024-30B18A275195}</author>
    <author>tc={CE26B51F-7046-4502-9B20-197BA8D7BE75}</author>
    <author>tc={4CAED96F-7AE4-4DC0-93AC-F82E05A15D6F}</author>
    <author>tc={31F7C2D9-B66D-4426-8386-3475F164A00B}</author>
    <author>tc={2EBCE282-8DF1-49A1-8FBC-1B014587B5D2}</author>
    <author>tc={01CD34F9-731A-4563-AF76-BF45772A7011}</author>
    <author>tc={22AEA2EC-6D89-4FFD-81B5-D247B84CEA1E}</author>
    <author>tc={85281EDA-2A14-49A8-B5AE-ADFE762E7155}</author>
    <author>tc={CB8D7676-AB92-41AF-B362-3FDCDDDF27F4}</author>
    <author>tc={D2EFCE88-CA71-4081-A5E5-A167E40CB40F}</author>
    <author>tc={6EFB73BB-BBB8-43F9-B966-C3DBBFEAF0F8}</author>
    <author>tc={268B9DDB-FF23-45BF-B4D1-70236B09360F}</author>
    <author>tc={6E059685-6A65-48DF-9C21-7420F3735878}</author>
    <author>tc={575C5834-8C55-48F7-82AD-190D50E33A6D}</author>
    <author>tc={72A7748A-B619-4F8D-A365-1CA4D5639BCD}</author>
    <author>tc={C6B1B52F-0479-4971-888A-24CA4F91948B}</author>
    <author>tc={A6086ABB-51F8-4C75-982F-CFA65BC88F5A}</author>
    <author>tc={9E919D55-A50D-4638-932A-D16633CDBA64}</author>
    <author>tc={5EA56335-7B6E-40E0-8881-EE5603918104}</author>
    <author>tc={E51BFE8B-3A3B-424C-8228-B050FA94F11D}</author>
    <author>tc={6EB1D98A-9CD3-47C4-A303-6E2A86851A9B}</author>
    <author>tc={35BB444F-1C37-4A39-BFAD-3A7BCD6241D6}</author>
    <author>tc={210C9489-E391-4CCF-BCA1-D631D82F4AFF}</author>
  </authors>
  <commentList>
    <comment ref="L20" authorId="0" shapeId="0" xr:uid="{0783A818-2BDA-4E4E-8024-30B18A275195}">
      <text>
        <t>[Threaded comment]
Your version of Excel allows you to read this threaded comment; however, any edits to it will get removed if the file is opened in a newer version of Excel. Learn more: https://go.microsoft.com/fwlink/?linkid=870924
Comment:
    söötmispäev on kõik päevad, mil loom on karjas või lind lindlas, välja arvatud tema karjast väljaviimise päev.</t>
      </text>
    </comment>
    <comment ref="C28" authorId="1" shapeId="0" xr:uid="{CE26B51F-7046-4502-9B20-197BA8D7BE75}">
      <text>
        <t>[Threaded comment]
Your version of Excel allows you to read this threaded comment; however, any edits to it will get removed if the file is opened in a newer version of Excel. Learn more: https://go.microsoft.com/fwlink/?linkid=870924
Comment:
    arvestuslik keskmine juurdekasv piimalehmade puhul 60 kg aastas; täiskasvanud suguemiste puhul see arvestuslikult 0.</t>
      </text>
    </comment>
    <comment ref="C36" authorId="2" shapeId="0" xr:uid="{4CAED96F-7AE4-4DC0-93AC-F82E05A15D6F}">
      <text>
        <t>[Threaded comment]
Your version of Excel allows you to read this threaded comment; however, any edits to it will get removed if the file is opened in a newer version of Excel. Learn more: https://go.microsoft.com/fwlink/?linkid=870924
Comment:
    iga aastalehma kohta 0,6 vasikat massiga 40 kg.</t>
      </text>
    </comment>
    <comment ref="C50" authorId="3" shapeId="0" xr:uid="{31F7C2D9-B66D-4426-8386-3475F164A00B}">
      <text>
        <t>[Threaded comment]
Your version of Excel allows you to read this threaded comment; however, any edits to it will get removed if the file is opened in a newer version of Excel. Learn more: https://go.microsoft.com/fwlink/?linkid=870924
Comment:
    broilerite ja noorlindude puhul 0</t>
      </text>
    </comment>
    <comment ref="B72" authorId="4" shapeId="0" xr:uid="{2EBCE282-8DF1-49A1-8FBC-1B014587B5D2}">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81" authorId="5" shapeId="0" xr:uid="{01CD34F9-731A-4563-AF76-BF45772A7011}">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91" authorId="6" shapeId="0" xr:uid="{22AEA2EC-6D89-4FFD-81B5-D247B84CEA1E}">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103" authorId="7" shapeId="0" xr:uid="{85281EDA-2A14-49A8-B5AE-ADFE762E7155}">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B111" authorId="8" shapeId="0" xr:uid="{CB8D7676-AB92-41AF-B362-3FDCDDDF27F4}">
      <text>
        <t>[Threaded comment]
Your version of Excel allows you to read this threaded comment; however, any edits to it will get removed if the file is opened in a newer version of Excel. Learn more: https://go.microsoft.com/fwlink/?linkid=870924
Comment:
    aastaringse laudaspidamise korral on väärtus 1</t>
      </text>
    </comment>
    <comment ref="P160" authorId="9" shapeId="0" xr:uid="{D2EFCE88-CA71-4081-A5E5-A167E40CB40F}">
      <text>
        <t>[Threaded comment]
Your version of Excel allows you to read this threaded comment; however, any edits to it will get removed if the file is opened in a newer version of Excel. Learn more: https://go.microsoft.com/fwlink/?linkid=870924
Comment:
    IPCC 2006: The manure from pasture and range grazing animals is allowed to lie as deposited, and is not
managed.</t>
      </text>
    </comment>
    <comment ref="P161" authorId="10" shapeId="0" xr:uid="{6EFB73BB-BBB8-43F9-B966-C3DBBFEAF0F8}">
      <text>
        <t>[Threaded comment]
Your version of Excel allows you to read this threaded comment; however, any edits to it will get removed if the file is opened in a newer version of Excel. Learn more: https://go.microsoft.com/fwlink/?linkid=870924
Comment:
    Similar to cattle and swine deep bedding except usually not combined with a dry lot or pasture.
Typically used for all poultry breeder flocks and for the production of meat type chickens
(broilers) and other fowl.</t>
      </text>
    </comment>
    <comment ref="P162" authorId="11" shapeId="0" xr:uid="{268B9DDB-FF23-45BF-B4D1-70236B09360F}">
      <text>
        <t>[Threaded comment]
Your version of Excel allows you to read this threaded comment; however, any edits to it will get removed if the file is opened in a newer version of Excel. Learn more: https://go.microsoft.com/fwlink/?linkid=870924
Comment:
    May be similar to open pits in enclosed animal confinement facilities or may be designed and
operated to dry the manure as it accumulates. The latter is known as a high-rise manure
management system and is a form of passive windrow composting when designed and operated
properly.</t>
      </text>
    </comment>
    <comment ref="B187" authorId="12" shapeId="0" xr:uid="{6E059685-6A65-48DF-9C21-7420F3735878}">
      <text>
        <t>[Threaded comment]
Your version of Excel allows you to read this threaded comment; however, any edits to it will get removed if the file is opened in a newer version of Excel. Learn more: https://go.microsoft.com/fwlink/?linkid=870924
Comment:
    vaikeväärtus on 0,01</t>
      </text>
    </comment>
    <comment ref="O221" authorId="13" shapeId="0" xr:uid="{575C5834-8C55-48F7-82AD-190D50E33A6D}">
      <text>
        <t>[Threaded comment]
Your version of Excel allows you to read this threaded comment; however, any edits to it will get removed if the file is opened in a newer version of Excel. Learn more: https://go.microsoft.com/fwlink/?linkid=870924
Comment:
    IPCC 2006: The manure from pasture and range grazing animals is allowed to lie as deposited, and is not
managed.</t>
      </text>
    </comment>
    <comment ref="O222" authorId="14" shapeId="0" xr:uid="{72A7748A-B619-4F8D-A365-1CA4D5639BCD}">
      <text>
        <t>[Threaded comment]
Your version of Excel allows you to read this threaded comment; however, any edits to it will get removed if the file is opened in a newer version of Excel. Learn more: https://go.microsoft.com/fwlink/?linkid=870924
Comment:
    IPCC 2006: Manure is routinely removed from a confinement facility and is applied to cropland or pasture
within 24 hours of excretion.</t>
      </text>
    </comment>
    <comment ref="O223" authorId="15" shapeId="0" xr:uid="{C6B1B52F-0479-4971-888A-24CA4F91948B}">
      <text>
        <t>[Threaded comment]
Your version of Excel allows you to read this threaded comment; however, any edits to it will get removed if the file is opened in a newer version of Excel. Learn more: https://go.microsoft.com/fwlink/?linkid=870924
Comment:
    The storage of manure, typically for a period of several months, in unconfined piles or stacks.
Manure is able to be stacked due to the presence of a sufficient amount of bedding material or
loss of moisture by evaporation.</t>
      </text>
    </comment>
    <comment ref="O224" authorId="16" shapeId="0" xr:uid="{A6086ABB-51F8-4C75-982F-CFA65BC88F5A}">
      <text>
        <t>[Threaded comment]
Your version of Excel allows you to read this threaded comment; however, any edits to it will get removed if the file is opened in a newer version of Excel. Learn more: https://go.microsoft.com/fwlink/?linkid=870924
Comment:
    A paved or unpaved open confinement area without any significant vegetative cover where
accumulating manure may be removed periodically</t>
      </text>
    </comment>
    <comment ref="O225" authorId="17" shapeId="0" xr:uid="{9E919D55-A50D-4638-932A-D16633CDBA64}">
      <text>
        <t>[Threaded comment]
Your version of Excel allows you to read this threaded comment; however, any edits to it will get removed if the file is opened in a newer version of Excel. Learn more: https://go.microsoft.com/fwlink/?linkid=870924
Comment:
    Manure is stored as excreted or with some minimal addition of water in either tanks or earthen
ponds outside the animal housing, usually for periods less than one year
Reply:
    IPCC 2019: või kattega</t>
      </text>
    </comment>
    <comment ref="O227" authorId="18" shapeId="0" xr:uid="{5EA56335-7B6E-40E0-8881-EE5603918104}">
      <text>
        <t>[Threaded comment]
Your version of Excel allows you to read this threaded comment; however, any edits to it will get removed if the file is opened in a newer version of Excel. Learn more: https://go.microsoft.com/fwlink/?linkid=870924
Comment:
    A type of liquid storage system designed and operated to combine waste stabilization and
storage. Lagoon supernatant is usually used to remove manure from the associated confinement
facilities to the lagoon. Anaerobic lagoons are designed with varying lengths of storage (up to a
year or greater), depending on the climate region, the volatile solids loading rate, and other
operational factors. The water from the lagoon may be recycled as flush water or used to irrigate
and fertilise fields.</t>
      </text>
    </comment>
    <comment ref="O230" authorId="19" shapeId="0" xr:uid="{E51BFE8B-3A3B-424C-8228-B050FA94F11D}">
      <text>
        <t>[Threaded comment]
Your version of Excel allows you to read this threaded comment; however, any edits to it will get removed if the file is opened in a newer version of Excel. Learn more: https://go.microsoft.com/fwlink/?linkid=870924
Comment:
    Animal excreta with or without straw are collected and anaerobically digested in a large
containment vessel or covered lagoon. Digesters are designed and operated for waste
stabilization by the microbial reduction of complex organic compounds to CO2 and CH4, which
is captured and flared or used as a fuel.</t>
      </text>
    </comment>
    <comment ref="O231" authorId="20" shapeId="0" xr:uid="{6EB1D98A-9CD3-47C4-A303-6E2A86851A9B}">
      <text>
        <t>[Threaded comment]
Your version of Excel allows you to read this threaded comment; however, any edits to it will get removed if the file is opened in a newer version of Excel. Learn more: https://go.microsoft.com/fwlink/?linkid=870924
Comment:
    Composting, typically in an enclosed channel, with forced aeration and continuous mixing. 
Composting in piles with forced aeration but no mixing.</t>
      </text>
    </comment>
    <comment ref="O232" authorId="21" shapeId="0" xr:uid="{35BB444F-1C37-4A39-BFAD-3A7BCD6241D6}">
      <text>
        <t>[Threaded comment]
Your version of Excel allows you to read this threaded comment; however, any edits to it will get removed if the file is opened in a newer version of Excel. Learn more: https://go.microsoft.com/fwlink/?linkid=870924
Comment:
    Composting in windrows with regular (at least daily) turning for mixing and aeration.
Composting in windrows with infrequent turning for mixing and aeration.</t>
      </text>
    </comment>
    <comment ref="B251" authorId="22" shapeId="0" xr:uid="{210C9489-E391-4CCF-BCA1-D631D82F4AFF}">
      <text>
        <t>[Threaded comment]
Your version of Excel allows you to read this threaded comment; however, any edits to it will get removed if the file is opened in a newer version of Excel. Learn more: https://go.microsoft.com/fwlink/?linkid=870924
Comment:
    vaikeväärtus on 0,01</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tc={2F86A1C6-B7EA-4455-8906-0146CB132311}</author>
    <author>tc={07F0798A-E656-462A-804E-DDEFC785AB31}</author>
    <author>tc={27F08BEC-9367-497B-A2A3-C8FE4FA4703C}</author>
    <author>tc={7A23FCB3-B437-4827-8661-2D7C54E5D2AA}</author>
    <author>tc={F34B1700-8FFD-4D5A-A313-3C7BA6E80E56}</author>
    <author>tc={D52B0438-11AC-41B7-8DE4-76C0B9395ED8}</author>
    <author>tc={896055CF-BC51-44E1-90C7-06FF9110DA5C}</author>
    <author>tc={9DC6E55A-DDF0-44E2-B289-1A4BF08CB64A}</author>
    <author>tc={0CC5E46A-9D8F-4899-B962-CC55AE5F763D}</author>
    <author>tc={32282727-B0D1-4ADC-8121-F10FB31D9E72}</author>
    <author>tc={D2C20423-6047-4BA6-8FE8-B6A24FC53435}</author>
    <author>tc={989C64BB-A54A-483E-9B1A-545A57D522A0}</author>
    <author>tc={B0246C96-1317-4A3A-BF46-E4E56649F309}</author>
  </authors>
  <commentList>
    <comment ref="K9" authorId="0" shapeId="0" xr:uid="{2F86A1C6-B7EA-4455-8906-0146CB132311}">
      <text>
        <t>[Threaded comment]
Your version of Excel allows you to read this threaded comment; however, any edits to it will get removed if the file is opened in a newer version of Excel. Learn more: https://go.microsoft.com/fwlink/?linkid=870924
Comment:
    siia on veel lisandumas sõnniku arvutusloogikad. need lisame pärast loomakasvatuse läbitöötamist</t>
      </text>
    </comment>
    <comment ref="T15" authorId="1" shapeId="0" xr:uid="{07F0798A-E656-462A-804E-DDEFC785AB31}">
      <text>
        <t>[Threaded comment]
Your version of Excel allows you to read this threaded comment; however, any edits to it will get removed if the file is opened in a newer version of Excel. Learn more: https://go.microsoft.com/fwlink/?linkid=870924
Comment:
    lahendaks selle nii, et põllumajandustootja sisestab eraldi pindala iga kultuuri kohta, juhtudele, kus  eemaldatakse seeme ja põhk ning kus ainult seeme.</t>
      </text>
    </comment>
    <comment ref="A22" authorId="2" shapeId="0" xr:uid="{27F08BEC-9367-497B-A2A3-C8FE4FA4703C}">
      <text>
        <t>[Threaded comment]
Your version of Excel allows you to read this threaded comment; however, any edits to it will get removed if the file is opened in a newer version of Excel. Learn more: https://go.microsoft.com/fwlink/?linkid=870924
Comment:
    IPCC 2006: Grassland -  according to the national definition, this category includes rangelands and pastureland that is not considered Cropland nor Forest land: land with perennial grasses that is proper for mow and pasture, smaller fallows and former cultural grasslands that have lost arable land features and Grassland from wild lands (‘natural grassland’). An overgrown wooded pasture with a canopy cover between 30 and 50% is classified as Grassland or forest, depending on the mainland-use purpose.</t>
      </text>
    </comment>
    <comment ref="A27" authorId="3" shapeId="0" xr:uid="{7A23FCB3-B437-4827-8661-2D7C54E5D2AA}">
      <text>
        <t>[Threaded comment]
Your version of Excel allows you to read this threaded comment; however, any edits to it will get removed if the file is opened in a newer version of Excel. Learn more: https://go.microsoft.com/fwlink/?linkid=870924
Comment:
    Arvutusloogika loomakasvatuse sektsioonist</t>
      </text>
    </comment>
    <comment ref="T27" authorId="4" shapeId="0" xr:uid="{F34B1700-8FFD-4D5A-A313-3C7BA6E80E56}">
      <text>
        <t>[Threaded comment]
Your version of Excel allows you to read this threaded comment; however, any edits to it will get removed if the file is opened in a newer version of Excel. Learn more: https://go.microsoft.com/fwlink/?linkid=870924
Comment:
    lahendaks selle nii, et põllumajandustootja sisestab eraldi pindala iga kultuuri kohta, juhtudele, kus  eemaldatakse seeme ja põhk ning kus ainult seeme.</t>
      </text>
    </comment>
    <comment ref="A28" authorId="5" shapeId="0" xr:uid="{D52B0438-11AC-41B7-8DE4-76C0B9395ED8}">
      <text>
        <t>[Threaded comment]
Your version of Excel allows you to read this threaded comment; however, any edits to it will get removed if the file is opened in a newer version of Excel. Learn more: https://go.microsoft.com/fwlink/?linkid=870924
Comment:
    Arvutusloogika loomakasvatusest</t>
      </text>
    </comment>
    <comment ref="H30" authorId="6" shapeId="0" xr:uid="{896055CF-BC51-44E1-90C7-06FF9110DA5C}">
      <text>
        <t>[Threaded comment]
Your version of Excel allows you to read this threaded comment; however, any edits to it will get removed if the file is opened in a newer version of Excel. Learn more: https://go.microsoft.com/fwlink/?linkid=870924
Comment:
    lisandub pärast loomakasvatuse läbitöötamist</t>
      </text>
    </comment>
    <comment ref="T36" authorId="7" shapeId="0" xr:uid="{9DC6E55A-DDF0-44E2-B289-1A4BF08CB64A}">
      <text>
        <t>[Threaded comment]
Your version of Excel allows you to read this threaded comment; however, any edits to it will get removed if the file is opened in a newer version of Excel. Learn more: https://go.microsoft.com/fwlink/?linkid=870924
Comment:
    Emissioonide taimsetest jäänustest arvestatakse vaid uuendamisega püsirohumaade puhul! (IPCC 2006)</t>
      </text>
    </comment>
    <comment ref="T40" authorId="8" shapeId="0" xr:uid="{0CC5E46A-9D8F-4899-B962-CC55AE5F763D}">
      <text>
        <t>[Threaded comment]
Your version of Excel allows you to read this threaded comment; however, any edits to it will get removed if the file is opened in a newer version of Excel. Learn more: https://go.microsoft.com/fwlink/?linkid=870924
Comment:
    lahendaks selle nii, et põllumajandustootja sisestab eraldi pindala iga kultuuri kohta, juhtudele, kus  eemaldatakse seeme ja põhk ning kus ainult seeme.</t>
      </text>
    </comment>
    <comment ref="A62" authorId="9" shapeId="0" xr:uid="{32282727-B0D1-4ADC-8121-F10FB31D9E72}">
      <text>
        <t>[Threaded comment]
Your version of Excel allows you to read this threaded comment; however, any edits to it will get removed if the file is opened in a newer version of Excel. Learn more: https://go.microsoft.com/fwlink/?linkid=870924
Comment:
    see on hetkel kõrvale jäetud</t>
      </text>
    </comment>
    <comment ref="B72" authorId="10" shapeId="0" xr:uid="{D2C20423-6047-4BA6-8FE8-B6A24FC53435}">
      <text>
        <t>[Threaded comment]
Your version of Excel allows you to read this threaded comment; however, any edits to it will get removed if the file is opened in a newer version of Excel. Learn more: https://go.microsoft.com/fwlink/?linkid=870924
Comment:
    See on keskmine. Eristab veel ka sünteetiliste väetiste alusel:
uurea - 0,15
ammooniumbaasil väetis - 0,08
nitraatbaasil väetis - 0,01
AN-baasil väetis - 0,05
Reply:
    Keskmine on arvutatud maailmas enimkasutatud väetiste osakaalusid arvesse võttes.</t>
      </text>
    </comment>
    <comment ref="A153" authorId="11" shapeId="0" xr:uid="{989C64BB-A54A-483E-9B1A-545A57D522A0}">
      <text>
        <t>[Threaded comment]
Your version of Excel allows you to read this threaded comment; however, any edits to it will get removed if the file is opened in a newer version of Excel. Learn more: https://go.microsoft.com/fwlink/?linkid=870924
Comment:
    mitte liblikõielised</t>
      </text>
    </comment>
    <comment ref="A160" authorId="12" shapeId="0" xr:uid="{B0246C96-1317-4A3A-BF46-E4E56649F309}">
      <text>
        <t>[Threaded comment]
Your version of Excel allows you to read this threaded comment; however, any edits to it will get removed if the file is opened in a newer version of Excel. Learn more: https://go.microsoft.com/fwlink/?linkid=870924
Comment:
    "pasture ground"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<sst xmlns="http://schemas.openxmlformats.org/spreadsheetml/2006/main" count="11867" uniqueCount="2669">
  <si>
    <t>Kommentaarid</t>
  </si>
  <si>
    <t>Taimekasvatus</t>
  </si>
  <si>
    <t>Lõimis</t>
  </si>
  <si>
    <t>Mineraalmuldadega põllumassiivide peale kokkuliidetud (ha)</t>
  </si>
  <si>
    <t>Osakaal kõigi mineraalmuldadega põldude peale kokku (%)</t>
  </si>
  <si>
    <t xml:space="preserve">Orgaanilise süsiniku sisaldus (Corg) (%) </t>
  </si>
  <si>
    <t>Huumuskihi tüsedus</t>
  </si>
  <si>
    <t>Koresus</t>
  </si>
  <si>
    <t>Liiv</t>
  </si>
  <si>
    <t>r1</t>
  </si>
  <si>
    <t>Saviliiv</t>
  </si>
  <si>
    <t>Kerge liivsavi</t>
  </si>
  <si>
    <t>Keskmine liivsavi</t>
  </si>
  <si>
    <t>Raske liivsavi</t>
  </si>
  <si>
    <t>Savi</t>
  </si>
  <si>
    <t>Kokku</t>
  </si>
  <si>
    <t xml:space="preserve">Palume lisada kuivendatud turvasmuldadega maa pindalad. Haritav maa on siin mõistes põllukultuuride all oleva maa, lühiajaliselt söötis maa või lühiajaline rohumaa. </t>
  </si>
  <si>
    <t>Turvasmullad</t>
  </si>
  <si>
    <t>Kirjeldus</t>
  </si>
  <si>
    <t>Ühik</t>
  </si>
  <si>
    <t>Väärtus</t>
  </si>
  <si>
    <t>Haritavate turvasmullaga maa pindala</t>
  </si>
  <si>
    <t>ha</t>
  </si>
  <si>
    <t>Kuivendatud turvasmuldadega püsirohumaa pindala</t>
  </si>
  <si>
    <t xml:space="preserve">Järgnev tabel puudutab kultuurtaimede kasvatamist ja püsirohumaade majandamist. Ühte tulpa palume koondada informatsiooni ühe kultuuri kohta. Kultuuri nime saab valida rippmenüüst. Lisaks seemnekultuuridele on nimekirjas ka haljaskultuurid ning püsirohumaad - nende leidmiseks tuleb lehitseda paremale.  Kui tegite kultuurile allakülvi, siis palume rippmenüüst valida vastav valik (nt talinisu allakülviga). Küsimused allakülvi liigi kohta tulevad allpool. </t>
  </si>
  <si>
    <t>Põllukultuurid</t>
  </si>
  <si>
    <t>Haljaskultuurid</t>
  </si>
  <si>
    <t>Püsirohumaad</t>
  </si>
  <si>
    <t>Kultuurid</t>
  </si>
  <si>
    <t xml:space="preserve">Haljaskultuuride puhul lisada vegetatiivse biomassi saagikus. </t>
  </si>
  <si>
    <t>Vaatlusaluse kultuuri keskmine saak ha kohta aidakaalus</t>
  </si>
  <si>
    <t>t/ha</t>
  </si>
  <si>
    <t>Siin on vaja lisada kuivainesisaldus aidakaalus saagi kohta. Muuda seda vaid juhul, kui on olemas vaikeväärtusest erinev number</t>
  </si>
  <si>
    <t>Vaatlusaluse kultuuri kuivainesisaldus aidakaalus</t>
  </si>
  <si>
    <t>%</t>
  </si>
  <si>
    <t>Konkreetsel vaatlusaastal konkreetse kultuuri all olev haritava maa või püsirohumaa pindala</t>
  </si>
  <si>
    <t>-</t>
  </si>
  <si>
    <t>ei</t>
  </si>
  <si>
    <t>kg/ha</t>
  </si>
  <si>
    <t>Rippmenüüst palume valida sobiv allaküvi kultuur</t>
  </si>
  <si>
    <t>Allakülvi kultuur</t>
  </si>
  <si>
    <t>Palume lisada allakülvis oleva kultuuri vegetatiivne biomass ühikus tonni KUIVAINET hektari kohta. 
Kui puudub teadmine, kui palju üks või teine allakülviks kasutatud kultuur kuivainesaaki annab, võid indikatiivse väärtuse leida siit: https://www.maheklubi.ee/upload/Editor/Haljasvaetis-mullaviljakuse-parandaja_2023.pdf</t>
  </si>
  <si>
    <t>Allakülvi maapealne biomass</t>
  </si>
  <si>
    <t>t KA/ha</t>
  </si>
  <si>
    <t>Kui kultuuri kasvatamisele järgnevalt külvati samale põllule ka vahekultuur, siis palume täita neid ridu. Vastasel korral jätta lahtrid tühjaks. Rippmenüüst valida sobiv kultuur ning lisada ka vahekultuuri biomass ühikus tonni KUIVAINET hektari kohta.
Kui puudub teadmine, kui palju kuivainesaaki üks või teine vahekultuur toodab, siis indikatiivse väärtuse võid leida siit: https://www.maheklubi.ee/upload/Editor/Haljasvaetis-mullaviljakuse-parandaja_2023.pdf</t>
  </si>
  <si>
    <t>Vahekultuur</t>
  </si>
  <si>
    <t>Vahekultuuri maapealne biomass</t>
  </si>
  <si>
    <t xml:space="preserve">Neid ridu täita vaid juhul kui kasutasite karbamiidi (uureat) või lubiväetisi. Küsime siin absoluutkoguseid tonnides. 
Kui kasutad mittekarbonaatset lupja, nagu näiteks tuhka, siis lubiväetiste ridu täita pole vajalik, sest kasvuhoonegaaside heidet sellega ei kaasne! </t>
  </si>
  <si>
    <t>Kasutatud karbamiidi kogus aastas kultuuri kohta</t>
  </si>
  <si>
    <t>t karbamiidi aastas</t>
  </si>
  <si>
    <t>Aastane kasutatud lubjakivi kogus kultuuri kohta</t>
  </si>
  <si>
    <t>t CaCO3 aastas</t>
  </si>
  <si>
    <t>Aastane kasutatud dolomiidi kogus kultuuri kohta</t>
  </si>
  <si>
    <t>t CaMg(CO3)2 aastas</t>
  </si>
  <si>
    <t>Siin küsime kasutatud taimekaitsetöödel kulunud taimekaitsevahendite koguseid iga kultuuri kohta.</t>
  </si>
  <si>
    <t>Aastane kasutatud herbitsiidi kogus aastas</t>
  </si>
  <si>
    <t>L või kg toodet</t>
  </si>
  <si>
    <t>Aastane kasutatud fungitsiidi kogus aastas</t>
  </si>
  <si>
    <t>Aastane kasutatud insektitsiidi kogus aastas</t>
  </si>
  <si>
    <t>Väetised</t>
  </si>
  <si>
    <t xml:space="preserve">Siin küsime erinevate orgaaniliste väetiste näol põllule viidud koguseid ning iga põllukultuuri kohta, missugusele arvule hektaritele vastavat orgaanilist väetist laotati. Kui orgaanilisi väetiseid ei kasutatud, siis palun jätta lahter tühjaks. See on sisend süsiniku sidumise arvutamiseks. </t>
  </si>
  <si>
    <t>Aastas põllule viidud vedelsõnnik</t>
  </si>
  <si>
    <t>Mitmele hektarile laotati vedelsõnnikut?</t>
  </si>
  <si>
    <t>Aaastas põllule viidud kompost</t>
  </si>
  <si>
    <t>Mitmele hektarile laotati komposti?</t>
  </si>
  <si>
    <t>Aastas põllule viidud taheõsnnik</t>
  </si>
  <si>
    <t>Mitmele hektarile laotati tahesõnnikut?</t>
  </si>
  <si>
    <t>Süsiniku jalajälje arvutamiseks küsime ka eri väetistega - nii orgaaniliste kui sünteetilistega - põllule viidud üldlämmastiku ja muude toitainete absoluutkoguseid iga kultuuri kohta eraldi.  Lämmastikukogusteni jõudmisel võib abiks kasutada ka Sõnnikukalkulaatorit: https://sonnik.agri.ee/$/</t>
  </si>
  <si>
    <t>Aastas mineraalväetistega põllule viidud P kogus?</t>
  </si>
  <si>
    <t>kg P aastas</t>
  </si>
  <si>
    <t>Aastas mineraalväetistega põllule viidud K kogus?</t>
  </si>
  <si>
    <t>kg K aastas</t>
  </si>
  <si>
    <t>Aastas sõnnikuga põllule viidud N</t>
  </si>
  <si>
    <t>kg N aastas</t>
  </si>
  <si>
    <t>Aastas reoveesette või digestaadiga põllule viidud N</t>
  </si>
  <si>
    <t>Aastas kompostiga põllule viidav N,</t>
  </si>
  <si>
    <t>Aastas muu orgaanilise väetise näol põllule viidav N</t>
  </si>
  <si>
    <t>Mineraalväetistega põllule viidud N kogus</t>
  </si>
  <si>
    <t>Column1</t>
  </si>
  <si>
    <t>Column2</t>
  </si>
  <si>
    <t>Column3</t>
  </si>
  <si>
    <t>Column4</t>
  </si>
  <si>
    <t>Column5</t>
  </si>
  <si>
    <r>
      <t xml:space="preserve">Siin küsime aasta jooksul soetatud väetiste koguseid ja selles sisalduva lämmastiku %. Rippmenüüst on võimalik lämmastikväetisi valida. Palume tingimata pöörata tähelepanu, mis piirkonnas on väetis </t>
    </r>
    <r>
      <rPr>
        <u/>
        <sz val="11"/>
        <color theme="1"/>
        <rFont val="Calibri"/>
        <family val="2"/>
        <scheme val="minor"/>
      </rPr>
      <t>toodetud</t>
    </r>
    <r>
      <rPr>
        <sz val="11"/>
        <color theme="1"/>
        <rFont val="Calibri"/>
        <family val="2"/>
        <scheme val="minor"/>
      </rPr>
      <t xml:space="preserve">. Päritolupiirkond mängib heiteteguri suuruse juures suurt rolli. Osade Yara väetiste puhul on ka tootespetsiifilised heitetegurid olemas. Nende puhul valida see konkreetne Yara toode. Valikus mitteolevate Yara toodete puhul valida valikust Euroopa väärtus. 
Viimane lahter on päritolumaa kohta on väetiste transpordi heite leidmiseks. </t>
    </r>
  </si>
  <si>
    <t>Soetatud väetised</t>
  </si>
  <si>
    <t>Lämmastiku vorm väetises</t>
  </si>
  <si>
    <t>Väetise kogus (kg)</t>
  </si>
  <si>
    <t>Lämmastiku %</t>
  </si>
  <si>
    <t>Päritolumaa</t>
  </si>
  <si>
    <t>Väetis, AN, granuleeritud - Venemaa ja Kesk-Aasia</t>
  </si>
  <si>
    <t>Aasta jooksul soetatud fosforväetiste kogused. Siia alla kuuluvad ka fosfaadid näiteks kompleksväetiste koosseisus (nt NPK). Palume lisada nii väetise kogus kui ka fosfori % tootes. Päritolumaa lahter on transpordi heite arvutamiseks.</t>
  </si>
  <si>
    <t>Fosfori vorm väetises</t>
  </si>
  <si>
    <t>Fosfori %</t>
  </si>
  <si>
    <t>Di-ammoonium-fosfaat (DAP)</t>
  </si>
  <si>
    <t>Aasta jooksul soetatud kaaliumväetiste kogused. Siia alla kuulub ka kaalium näiteks kompleksväetiste koosseisus (nt NPK). Palume lisada nii väetise kogus kui ka kaaliumi % tootes. Päritolumaa lahter on transpordi heite arvutamiseks.</t>
  </si>
  <si>
    <t>Kaaliumväetised</t>
  </si>
  <si>
    <t>Kaaliumi %</t>
  </si>
  <si>
    <t xml:space="preserve">Muu K2O väetis </t>
  </si>
  <si>
    <t>Muud väetised</t>
  </si>
  <si>
    <t>Keemilise aine %</t>
  </si>
  <si>
    <t xml:space="preserve">Kui aasta jooksul soetati mõnda väetist, millele kohaldub rippmenüüst sobiv valik, siis palume märkida ka nende kogused, rippmenüüst valitud keemilise aine % ning päritolumaa. </t>
  </si>
  <si>
    <t>Naatrium (Na) väetis</t>
  </si>
  <si>
    <t xml:space="preserve">Paljude väetisetootjad raporteerivad ise ka oma toodete süsiniku jalajälgesid ning see nimekiri on pidevalt uuenemas. Kui kasutad mõne tootja konkreetset väetist, millele on süsiniku jalajälje hinnang tehtud, siis võid selle ise siia lisada. 
Päritolumaa lahter on väetise transpordi heite arvutamiseks. </t>
  </si>
  <si>
    <t>Väetised, mille toote süsiniku jalajälg on teada</t>
  </si>
  <si>
    <t>Kogus (kg)</t>
  </si>
  <si>
    <t>Heitetegur (kg CO2-ekv/kg)</t>
  </si>
  <si>
    <t>Soetatud herbitsiidid</t>
  </si>
  <si>
    <t>Herbitsiidi nimi</t>
  </si>
  <si>
    <t>Kogus</t>
  </si>
  <si>
    <t xml:space="preserve">Ettevõttes aasta jooksul soetatud herbitsiidide kogused. Rippmenüüst otsi sobiv toode. </t>
  </si>
  <si>
    <t>l/kg toodet</t>
  </si>
  <si>
    <t>Benta 480 SL</t>
  </si>
  <si>
    <t>Herbitsiid, mida nimekirjas pole</t>
  </si>
  <si>
    <t>Toode</t>
  </si>
  <si>
    <t xml:space="preserve">Ettevõttes aasta jooksul soetatud insektsitsiidide kogused. Rippmenüüst otsi sobiv toode. </t>
  </si>
  <si>
    <t>Soetatud insektitsiidid</t>
  </si>
  <si>
    <t>Insektitsiidi nimi</t>
  </si>
  <si>
    <t>Evure</t>
  </si>
  <si>
    <t>Kaiso 50 EG</t>
  </si>
  <si>
    <t>Toodete süsiniku jalajäljed on pidevas uuenemises. Kui ülalolevast nimekirjast sobivat toodet ei leidnud, aga Sinu kasutataval tootel on tootja seda raporteerinud, võid selle käsitsi sisestada. Päritolumaa lahter on transpordi heite arvutamiseks.</t>
  </si>
  <si>
    <t>Insektitsiid, mida nimekirjas pole</t>
  </si>
  <si>
    <t xml:space="preserve">Ettevõttes aasta jooksul soetatud fungitsiidide kogused. Rippmenüüst otsi sobiv toode. </t>
  </si>
  <si>
    <t>Soetatud fungitsiidid</t>
  </si>
  <si>
    <t>Fungitsiidi nimi</t>
  </si>
  <si>
    <t>Revytrex</t>
  </si>
  <si>
    <t>Variano Xpro</t>
  </si>
  <si>
    <t>Fungitsiid, mida nimekirjas pole</t>
  </si>
  <si>
    <t xml:space="preserve">Ettevõttes aasta jooksul soetatud puhtimisvahendite kogused. Rippmenüüst otsi sobiv toode. </t>
  </si>
  <si>
    <t>Soetatud puhtimisvahend</t>
  </si>
  <si>
    <t>Puhtimisvahendi nimi</t>
  </si>
  <si>
    <t>Vibrance Pro</t>
  </si>
  <si>
    <t>Sisseostetud seeme</t>
  </si>
  <si>
    <t>Kultuur</t>
  </si>
  <si>
    <t xml:space="preserve">Aasta jooksul soetatud külviks kasutatav seemnematerjal, eristatuna kultuuriti. Rippmenüüst palun teha sobiv valik ning sisestada soetatud kogus. 
Päritolumaad küsime transpordi heite arvutamiseks. </t>
  </si>
  <si>
    <t>Nisu</t>
  </si>
  <si>
    <t>kg</t>
  </si>
  <si>
    <t>Eesti</t>
  </si>
  <si>
    <t xml:space="preserve">Siia palun markeeri ära aasta jooksul kõik põllumasinates, põllutöödel ja põllutööde tugitegevustel (nt kraavi kaevamine jmt) kasutatud kütused ning nende kogused kütuseliigi järel sulgudes olevas ühikus. 
Kütusevalik tee rippmenüüst. </t>
  </si>
  <si>
    <t>Põllumasinates, põllutöödel ja taimekasvatusega seotud tugitegevustel kasutatud kütused</t>
  </si>
  <si>
    <t>Kütuseliik ja ühik</t>
  </si>
  <si>
    <t>Kütuseliik 1</t>
  </si>
  <si>
    <t>Diisel, traktor (l)</t>
  </si>
  <si>
    <t>Kütuseliik 2</t>
  </si>
  <si>
    <t>Kütuseliik 3</t>
  </si>
  <si>
    <t>Kütuseliik 4</t>
  </si>
  <si>
    <t>Oma ettevõttes taimekasvatuse tarbeks kasutatud soojusenergia</t>
  </si>
  <si>
    <t>Kuivatis kasutatud kütus</t>
  </si>
  <si>
    <t>Biomass (nt puiduhake, saepuru) (kg)</t>
  </si>
  <si>
    <t>Kütus 2</t>
  </si>
  <si>
    <t>Maagaas (mᶟ)</t>
  </si>
  <si>
    <t>Kütus 3</t>
  </si>
  <si>
    <t>Kütus 4</t>
  </si>
  <si>
    <t xml:space="preserve">Juhul ise kuivatit ei oma ja/või ostad ka kuivatiteenust sisse, siis täida järgnevaid lahtreid. 
Rippmenüüst tee esmalt valik, mis vilja kuivatasid (vajalik toote süsiniku jalajälje arvestuses) ning mis oli kuivatuseelne ja kuivatusjärgne kaal. Kuivatiteenuse pakkujalt palun uuri ka, mis kütuseliiki kuivatis kasutatakse. </t>
  </si>
  <si>
    <t>Sisseostetud kuivatiteenus</t>
  </si>
  <si>
    <t>Vili</t>
  </si>
  <si>
    <t>Kuivatuseelne kaal (t)</t>
  </si>
  <si>
    <t>Kuivatusjärgne kaal (t)</t>
  </si>
  <si>
    <t>Mis kütust kuivatis kasutatakse?</t>
  </si>
  <si>
    <t xml:space="preserve">Maagaas </t>
  </si>
  <si>
    <t>Suvinisu</t>
  </si>
  <si>
    <t>Diisel</t>
  </si>
  <si>
    <t>Taimekasvatuses kasutatud elektrienergia</t>
  </si>
  <si>
    <t>Elektrienergia tüüp</t>
  </si>
  <si>
    <r>
      <t xml:space="preserve">Siin palume valida taimekasvatuse tarbeks tarbitud </t>
    </r>
    <r>
      <rPr>
        <u/>
        <sz val="11"/>
        <color theme="1"/>
        <rFont val="Calibri"/>
        <family val="2"/>
        <scheme val="minor"/>
      </rPr>
      <t xml:space="preserve">sisseostetud </t>
    </r>
    <r>
      <rPr>
        <sz val="11"/>
        <color theme="1"/>
        <rFont val="Calibri"/>
        <family val="2"/>
        <scheme val="minor"/>
      </rPr>
      <t>elektrienergia tüübi ning markeerida tarbitud koguse ühikus kWh. Siia alla kuulub nii kuivatamise, sorteerimise jmt protsessidega seotud elektrienergia.  Palume eristada, kui on tarbitud taastuvelektrit. Isetoodetud taastuvelekter siia alla ei kuulu ning selle osas andmeid välja otsida pole ka tarvis - selle heide on 0!</t>
    </r>
  </si>
  <si>
    <t>Taastuvelekter (biomassist)</t>
  </si>
  <si>
    <t>kWh</t>
  </si>
  <si>
    <t>Taastuvelekter (päritolutunnistusega)</t>
  </si>
  <si>
    <t>Toodete pakendamine</t>
  </si>
  <si>
    <t>Pakendimaterjal</t>
  </si>
  <si>
    <t>Kogus (t)</t>
  </si>
  <si>
    <t xml:space="preserve">Juhul kui taimekasvatuse tarbeks kasutasite mõnd pakkematerjali (näiteks silokile), siis palume markeerida siia aasta jooksul soetatud pakendite kogused tonnides, eristades neid materjalipõhiselt. </t>
  </si>
  <si>
    <t>Taimekasvatuse jäätmed</t>
  </si>
  <si>
    <t>Jäätmeliik</t>
  </si>
  <si>
    <t xml:space="preserve">Kui taimekasvatuses tekkis selliseid jäätmeid, mis jäätmekäitluspartnerile on üle antud, siis palume neid jäätmeliigiti eristada ning tekkinud kogused märkida siia. </t>
  </si>
  <si>
    <t>Segaolmejäätmed, lõppkäitlusviis pole teada</t>
  </si>
  <si>
    <t>Liigiti kogutud klaaspakend</t>
  </si>
  <si>
    <t>Kiirviited selles tööriistas sobiva loomaliigini:</t>
  </si>
  <si>
    <t>Veised</t>
  </si>
  <si>
    <t>Munakana</t>
  </si>
  <si>
    <t>Broiler</t>
  </si>
  <si>
    <t>Siga</t>
  </si>
  <si>
    <t>Lammas</t>
  </si>
  <si>
    <t>Part</t>
  </si>
  <si>
    <t>Kalkun</t>
  </si>
  <si>
    <t>Loomakasvatus</t>
  </si>
  <si>
    <t>Veis</t>
  </si>
  <si>
    <t>Loomarühm</t>
  </si>
  <si>
    <t>Piimalehmad (5000 kg)</t>
  </si>
  <si>
    <t>Piimalehmad (6000 kg)</t>
  </si>
  <si>
    <t>Piimalehmad (7000 kg)</t>
  </si>
  <si>
    <t>Piimalehmad (8000 kg)</t>
  </si>
  <si>
    <t>Piimalehmad (9000 kg)</t>
  </si>
  <si>
    <t>Piimalehmad (10000 kg)</t>
  </si>
  <si>
    <t>Ammlehmad</t>
  </si>
  <si>
    <t>Muud veised</t>
  </si>
  <si>
    <t>Lehmvasikad</t>
  </si>
  <si>
    <t>Pullvasikad</t>
  </si>
  <si>
    <t>Lehmmullikad</t>
  </si>
  <si>
    <t>Pullmullikad</t>
  </si>
  <si>
    <t>Aastaloom</t>
  </si>
  <si>
    <t>Palun märkige siia loomarühmade kaupa eraldi peamine sõnnikutüüp.</t>
  </si>
  <si>
    <t>Sõnnikutüüp</t>
  </si>
  <si>
    <t>Vedelsõnnik</t>
  </si>
  <si>
    <t xml:space="preserve">Sõnnikuhoidla tüüp palun valida ripmmenüüst. Rippmenüü avaneb lahtrile klikkides noolele vajutades. </t>
  </si>
  <si>
    <t>Sõnnikuhoidla tüüp</t>
  </si>
  <si>
    <t>Sõnnikuaun, kaetud turba, saepuru, pinnase vm materjaliga</t>
  </si>
  <si>
    <t>Siit valida loomapidamisviis veistele toodangu- ja vanuserühmade kaupa.</t>
  </si>
  <si>
    <t>Pidamisviisid toodangu- ja vanuserühmade kaupa</t>
  </si>
  <si>
    <t>Vabapidamine, sõnnikukanalid, vähene allapanu</t>
  </si>
  <si>
    <t>Kehamassi juurdekasv (kg)</t>
  </si>
  <si>
    <t>Vasikate mass (kg)</t>
  </si>
  <si>
    <t>Tarbitud sööda mass (kg)</t>
  </si>
  <si>
    <r>
      <t xml:space="preserve">Keemilise analüüsiga määratud lämmastikusisaldus loomasöödas. Kui tead proteiinisisaldust (%) söödas, siis saab ka selle järgi arvutada. Kui teed järgneva tehte: 
</t>
    </r>
    <r>
      <rPr>
        <b/>
        <sz val="11"/>
        <color theme="1"/>
        <rFont val="Calibri"/>
        <family val="2"/>
        <scheme val="minor"/>
      </rPr>
      <t xml:space="preserve">proteiinisisaldus %/6,38 </t>
    </r>
    <r>
      <rPr>
        <sz val="11"/>
        <color theme="1"/>
        <rFont val="Calibri"/>
        <family val="2"/>
        <scheme val="minor"/>
      </rPr>
      <t xml:space="preserve">
siis jõuad samuti sööda lämmastikusisalduseni (%).</t>
    </r>
  </si>
  <si>
    <t>Söödas sisalduv keskmine lämmastikusisaldus (g/kg KA)</t>
  </si>
  <si>
    <t>Söödas sisalduv keskmine lämmastikusisaldus (g/kg)</t>
  </si>
  <si>
    <t xml:space="preserve">Seda täita vaid juhul kui loomi karjatati. </t>
  </si>
  <si>
    <t>Karjatamispäevade arv aastas</t>
  </si>
  <si>
    <t>Keskmine karjatamistundide arv ööpäevas karjatamisperioodil</t>
  </si>
  <si>
    <t xml:space="preserve">Lisa siia aasta jooksul toodetud toorpiima kogus kilogrammides. </t>
  </si>
  <si>
    <t>Aastas toodetud toorpiima kogus (kg)</t>
  </si>
  <si>
    <t>Aastas toodetud toorpiima mass (kg)</t>
  </si>
  <si>
    <t>Keskmine lämmastikusisaldus piimas (g/kg)</t>
  </si>
  <si>
    <t>Heiteallikas</t>
  </si>
  <si>
    <t>Siia kirjutada teie toodetud toorpiima keskmine rasvasisaldus protsentides.</t>
  </si>
  <si>
    <t>Toorpiima keskmine rasvasisaldus</t>
  </si>
  <si>
    <t>Siia kirjutada teie toodetud toorpiima keskmine proteiinisisaldus protsentides.</t>
  </si>
  <si>
    <t>Toorpiima keskmine proteiinisisaldus</t>
  </si>
  <si>
    <t>Siin liida kokku kõik ettevõttest elusalt välja müüdud loomade eluskaalud, sõltumata sellest kas müüdi suguloomaks, nuumale vmt.</t>
  </si>
  <si>
    <t>Aasta jooksul elusalt ettevõttest välja müüdud loomade kogus eluskaalus</t>
  </si>
  <si>
    <t>Aasta jooksul lihaks müüdud loomade kogus eluskaalus</t>
  </si>
  <si>
    <t xml:space="preserve">Siin palume valida loomapidamishoonetes veiste kasvatusel soojusenergia tootmiseks kasutatud kütused ning väärtuse lahtrisse markeerida nende kogused markeeritud ühikus. </t>
  </si>
  <si>
    <t>Kasutatud soojusenergia liik 1</t>
  </si>
  <si>
    <t>Kasutatud soojusenergia liik 2</t>
  </si>
  <si>
    <t>Kasutatud soojusenergia liik 3</t>
  </si>
  <si>
    <t>Kasutatud elektrienergia liik 1</t>
  </si>
  <si>
    <t>Kasutatud elektrienergia liik 2</t>
  </si>
  <si>
    <r>
      <t xml:space="preserve">Seda rida täita vaid juhul, kui loomakasvatuse veetarve tuleb ühisveevärgist. Kui on oma enda veevõtt (nt puurkaev), siis seda rida </t>
    </r>
    <r>
      <rPr>
        <u/>
        <sz val="11"/>
        <color theme="1"/>
        <rFont val="Calibri"/>
        <family val="2"/>
        <scheme val="minor"/>
      </rPr>
      <t>mitte täita</t>
    </r>
    <r>
      <rPr>
        <sz val="11"/>
        <color theme="1"/>
        <rFont val="Calibri"/>
        <family val="2"/>
        <scheme val="minor"/>
      </rPr>
      <t>.</t>
    </r>
  </si>
  <si>
    <t>Tarbitud vee kogus</t>
  </si>
  <si>
    <t>m3</t>
  </si>
  <si>
    <t xml:space="preserve">Nendesse lahtritesse rippmenüüst loetleda ja valida aasta jooksul sõidukites ja masinates kasutatud kütuseid ning nende koguseid. </t>
  </si>
  <si>
    <t>Loomakasvatuseks kasutatud sõidukite ja masinate kütuse liik 1</t>
  </si>
  <si>
    <t>Bensiin, traktor (l)</t>
  </si>
  <si>
    <t>Bensiin, kaubik (l)</t>
  </si>
  <si>
    <t>Loomakasvatuseks kasutatud sõidukite ja masinate kütuse liik 2</t>
  </si>
  <si>
    <t>Loomakasvatuseks kasutatud sõidukite ja masinate kütuse liik 3</t>
  </si>
  <si>
    <t>Sisseostetud taimne sööt</t>
  </si>
  <si>
    <t>Riik</t>
  </si>
  <si>
    <t>Muud oad, siloks</t>
  </si>
  <si>
    <t>Bulgaaria</t>
  </si>
  <si>
    <t>Argentiina</t>
  </si>
  <si>
    <t>Hernes, söödaks</t>
  </si>
  <si>
    <t>Albaania</t>
  </si>
  <si>
    <t>Belgia</t>
  </si>
  <si>
    <t>Kaer</t>
  </si>
  <si>
    <t>Uus-Meremaa</t>
  </si>
  <si>
    <t>Isekasvatatud taimne sööt</t>
  </si>
  <si>
    <t>Muu sööt</t>
  </si>
  <si>
    <t>Metioniin</t>
  </si>
  <si>
    <t>Sööt, mille heitetegur on teada</t>
  </si>
  <si>
    <t>Foolium</t>
  </si>
  <si>
    <t>Teadmata plastik</t>
  </si>
  <si>
    <t>Plastkile</t>
  </si>
  <si>
    <t>Plastik: HDPE</t>
  </si>
  <si>
    <t>Plastik: LDPE ja LLDPE</t>
  </si>
  <si>
    <t>Plastik: PET</t>
  </si>
  <si>
    <t>Tekkinud jäätmed</t>
  </si>
  <si>
    <t xml:space="preserve">Siin palume kirja panna loomakasvatuses tekkinud jäätmete kogused, jäätmeliigi või käitlusviisi põhjal eristatuna, mis on jäätmekäitluspartnerile üle antud. Siia alla kuuluvad ka loomsed jäätmed. </t>
  </si>
  <si>
    <t>Segaolmejäätmed, prügilasse ladestamine</t>
  </si>
  <si>
    <t>Segaolmejäätmed, põletamine</t>
  </si>
  <si>
    <t>Nuumsead</t>
  </si>
  <si>
    <t>Võõrdepõrsad</t>
  </si>
  <si>
    <t>Imetavad, tiined ja vabad emised, nooremised</t>
  </si>
  <si>
    <t>Siit valida loomapidamisviis sigadele toodange- ja vanuserühmade kaupa</t>
  </si>
  <si>
    <t>Rühmasulud, täisrestpõrand (betoonrestid), vaakumsüsteem, sõnniku põhjakihi jahutamine</t>
  </si>
  <si>
    <t>Rühmasulud, täisrestpõrand, vaakumsüsteem, allapanuta</t>
  </si>
  <si>
    <t>Individuaalsulud, täisrestpõrand (betoonrestid), sõnnikurennid või -kanalid, sõnniku väljauhtmine</t>
  </si>
  <si>
    <t xml:space="preserve">Aastaloom </t>
  </si>
  <si>
    <r>
      <t xml:space="preserve">Keemilise analüüsiga määratud lämmastikusisaldus loomasöödas. Kui tead proteiinisisaldust (%) söödas, siis saab ka selle järgi arvutada. Kui teed järgneva tehte: 
</t>
    </r>
    <r>
      <rPr>
        <b/>
        <sz val="11"/>
        <color theme="1"/>
        <rFont val="Calibri"/>
        <family val="2"/>
        <scheme val="minor"/>
      </rPr>
      <t xml:space="preserve">proteiinisisaldus %/6,25 </t>
    </r>
    <r>
      <rPr>
        <sz val="11"/>
        <color theme="1"/>
        <rFont val="Calibri"/>
        <family val="2"/>
        <scheme val="minor"/>
      </rPr>
      <t xml:space="preserve">
siis jõuad samuti sööda lämmastikusisalduseni (%).</t>
    </r>
  </si>
  <si>
    <t xml:space="preserve">Loomade kehamassi kasv aasta jooksul kõigiloomade peale kokku liidetuna.
Täiskasvanud suguemiste puhul kehamassi juurdekasvu märkida ei ole tarvis. </t>
  </si>
  <si>
    <t>Sõnnikuhoidla</t>
  </si>
  <si>
    <t>Tahesõnnik</t>
  </si>
  <si>
    <t xml:space="preserve">Siin palume valida loomapidamishoonetes sigade kasvatuseks soojusenergia tootmiseks kasutatud kütused ning väärtuse lahtrisse markeerida nende kogused vastavas ühikus. </t>
  </si>
  <si>
    <t>Lupiin</t>
  </si>
  <si>
    <t>Linaseemned</t>
  </si>
  <si>
    <t>Hernes, siloks</t>
  </si>
  <si>
    <t>Liigiti kogutud segapakend</t>
  </si>
  <si>
    <t>Noorlinnud</t>
  </si>
  <si>
    <t>Pidamisviis</t>
  </si>
  <si>
    <t>Puurispidamine, sõnniku eemaldamine skreeperseadmega kinnisesse hoidlasse</t>
  </si>
  <si>
    <t>Põrandalpidamine, sügavallapanu, sõnniku kuivatamiseta</t>
  </si>
  <si>
    <t>Aastalind on arvestuslik ühik, mis arvutatakse, jagades käsitletava linnuliigi isendi söötmispäevade summa päevade arvuga aastas. Söötmispäevaks loetakse kõik päevad, mil lind on lindlas, välja arvatud tema lindlast väljaviimise päev.</t>
  </si>
  <si>
    <t>Aastalind (tk)</t>
  </si>
  <si>
    <t>Vabapidamise päevade arv</t>
  </si>
  <si>
    <t>Keskmine vabapidamise tundide arv ööpäevas karjatamisperioodil</t>
  </si>
  <si>
    <r>
      <t xml:space="preserve">Keemilise analüüsiga määratud lämmastikusisaldus söödas. Kui tead proteiinisisaldust (%) söödas, siis saab ka selle järgi arvutada. Kui teed järgneva tehte: 
</t>
    </r>
    <r>
      <rPr>
        <b/>
        <sz val="11"/>
        <color theme="1"/>
        <rFont val="Calibri"/>
        <family val="2"/>
        <scheme val="minor"/>
      </rPr>
      <t xml:space="preserve">proteiinisisaldus %/6,25 </t>
    </r>
    <r>
      <rPr>
        <sz val="11"/>
        <color theme="1"/>
        <rFont val="Calibri"/>
        <family val="2"/>
        <scheme val="minor"/>
      </rPr>
      <t xml:space="preserve">
siis jõuad samuti sööda lämmastikusisalduseni (%).</t>
    </r>
  </si>
  <si>
    <t>Lindude kehamassi kasv aasta jooksul kõigi lindude peale kokku liidetuna.</t>
  </si>
  <si>
    <t>Rippmenüüst palun valida sobiv väärtus</t>
  </si>
  <si>
    <t xml:space="preserve">Siia palun kirja panna aasta jooksul soetatud tibude arv. </t>
  </si>
  <si>
    <t>Aasta jooksul ostetud tibude kogus</t>
  </si>
  <si>
    <t>tk</t>
  </si>
  <si>
    <t>Kanade poolt aastas toodetud munade kogus kokku</t>
  </si>
  <si>
    <t>Aasta jooksul toodetud kanamunade mass</t>
  </si>
  <si>
    <t>Aasta jooksul lihana realiseeritud kanade kogus eluskaalus</t>
  </si>
  <si>
    <t xml:space="preserve">Siin liida kokku kõik ettevõttest elusalt välja müüdud lindude eluskaalud, sõltumata sellest mis eesmärgil linde müüdi. </t>
  </si>
  <si>
    <t>Aasta jooksul elusalt ettevõttest välja müüdud lindude kogus eluskaalus</t>
  </si>
  <si>
    <t xml:space="preserve">Siin palume valida linnukasvatushoonetes lindude kasvatusel soojusenergia tootmiseks kasutatud kütused ning väärtuse lahtrisse markeerida nende kogused markeeritud ühikus. </t>
  </si>
  <si>
    <t>Linnukasvatuseks kasutatud sõidukite ja masinate kütuse liik 1</t>
  </si>
  <si>
    <t>Linnukasvatuseks kasutatud sõidukite ja masinate kütuse liik 2</t>
  </si>
  <si>
    <t>Linnukasvatuseks kasutatud sõidukite ja masinate kütuse liik 3</t>
  </si>
  <si>
    <t>Munatoodangu osakaal ettevõtte käibest</t>
  </si>
  <si>
    <t>Lihaks realiseeritud kanade osakaal ettevõtte käibest</t>
  </si>
  <si>
    <t>Elule müüdud lindude osakaal ettevõtte käibest</t>
  </si>
  <si>
    <t>Juhul kui linnukasvatuse tarbeks kasutati pakendmaterjale, siis palume siin eristada materjalipõhiselt ning kirja panna aasta jooksul soetatud kogused tonnides. Pakendimaterjale saab valida rippmenüüst.</t>
  </si>
  <si>
    <t xml:space="preserve">Siin palume kirja panna linnukasvatuses tekkinud jäätmete kogused, jäätmeliigi või käitlusviisi põhjal eristatuna, mis on jäätmekäitluspartnerile üle antud. Siia alla kuuluvad ka loomsed jäätmed. </t>
  </si>
  <si>
    <t xml:space="preserve">Siin valida pidamisviis rippmenüüst. </t>
  </si>
  <si>
    <t>Broilerid</t>
  </si>
  <si>
    <t xml:space="preserve">Söödas sisalduv keskmine lämmastikusisaldus </t>
  </si>
  <si>
    <t>g/kg KA</t>
  </si>
  <si>
    <t>kg KA</t>
  </si>
  <si>
    <t>Aasta jooksul lihana realiseeritud broilerite kogus eluskaalus</t>
  </si>
  <si>
    <t>Aasta jooksul elusalt ettevõttest välja müüdud broilerite kogus eluskaalus</t>
  </si>
  <si>
    <t>Aastalind</t>
  </si>
  <si>
    <t>söötmispäevade arvu summa / päevade arv aastas</t>
  </si>
  <si>
    <t>Broilerite puhul palun märkida eluskaalus kehamass realiseerimisel, summeerituna kõigi aastas realiseeritud lindude peale kokku</t>
  </si>
  <si>
    <t xml:space="preserve">Kehamassi juurdekasv </t>
  </si>
  <si>
    <t>päeva</t>
  </si>
  <si>
    <t>tundi</t>
  </si>
  <si>
    <t>Tahesõnnikuhoidla, loomulik koorik</t>
  </si>
  <si>
    <t>Tavaelekter</t>
  </si>
  <si>
    <t>Diisel, kaubik (l)</t>
  </si>
  <si>
    <t>Valiin</t>
  </si>
  <si>
    <t>Loomsete jäätmete käitlus</t>
  </si>
  <si>
    <t xml:space="preserve">Järgnevaid blokke on tarvis täita juhul kui telegesite lambakasvatusega. Kuna lambakasvatus on sageli Eestis ekstensiivne, on tarvis andmeid koguda kolme järjestikkuse aasta kohta selleks, et saada adekvaatne arusaam toote tasemel süsiniku jalajäljest. Selleks lehitse paremale ning täida samad lahtrid ka varasemate aastate kohta. </t>
  </si>
  <si>
    <t>Keskmine loomade arv aastas</t>
  </si>
  <si>
    <t>Palume summeerida kõikide loomade peale kokku võttes arvesse karja keskmist suurust (vt ka eelmise punkti kommentaari).</t>
  </si>
  <si>
    <t>Loomade keskmine eluskaal kokku, kg</t>
  </si>
  <si>
    <t>Temperatuur, milles loomad keskmiselt aastas viibivad</t>
  </si>
  <si>
    <t>°C</t>
  </si>
  <si>
    <t>Palun rippmenüüst valida sobiv sõnnikukäitlusviis</t>
  </si>
  <si>
    <t>Sõnnikukäitlusviis</t>
  </si>
  <si>
    <t>Vedelsõnnikuhoidla loomuliku koorikuga</t>
  </si>
  <si>
    <t>Sõnnikuaun, lühiajaline</t>
  </si>
  <si>
    <t xml:space="preserve">Seda lahtrit täita juhul kui loomi karjatati. </t>
  </si>
  <si>
    <t>Karjatamispäevade arv</t>
  </si>
  <si>
    <t>Siin liida kokku kõik ettevõttest elusalt välja müüdud loomad, sõltumata sellest kas müüdi suguloomaks, nuumale vmt.</t>
  </si>
  <si>
    <t>Trüptofaan</t>
  </si>
  <si>
    <t>Lüsiin</t>
  </si>
  <si>
    <t>Treoniin</t>
  </si>
  <si>
    <t>Muu aminohape</t>
  </si>
  <si>
    <t>Kaltsiumkarbonaat (&lt;63µm)</t>
  </si>
  <si>
    <t>Juhul kui loomakasvatuse tarbeks kasutati pakendmaterjale, siis palume siin eristada materjalipõhiselt ning kirja panna aasta jooksul soetatud kogused tonnides. Pakendimaterjale saab valida rippmenüüst.</t>
  </si>
  <si>
    <t>Keskmine ühe linnu eluskaal (kg)</t>
  </si>
  <si>
    <t>Palume lisada aastaloomade arvu ning keskmise linnu eluskaalu (kg linnu kohta). Aastaloom arvutatakse järgnevalt: loomarühma söötmispäevade arv/päevade arv aastas. Söötmispäev on päev, mil lind on lindlas. Nt 10 lindu ühel päeval lindlas on 10 söötmispäeva.</t>
  </si>
  <si>
    <t>Palun valida sobiv rippmenüüst</t>
  </si>
  <si>
    <t>Sügavallapanuga</t>
  </si>
  <si>
    <t>Seda täita vaid juhul kui linnud olid mõne osa aastast vabapidamisel</t>
  </si>
  <si>
    <t>Aasta jooksul lihana realiseeritud partide kogus eluskaalus</t>
  </si>
  <si>
    <t>Boliivia</t>
  </si>
  <si>
    <t>Loomne valk, broiler</t>
  </si>
  <si>
    <t>Keskmine looma eluskaal kg/looma kohta</t>
  </si>
  <si>
    <t>Aasta jooksul lihana realiseeritud kalkunite kogus eluskaalus</t>
  </si>
  <si>
    <t>Bensiin, sõiduauto (l)</t>
  </si>
  <si>
    <t>Brasiilia</t>
  </si>
  <si>
    <t xml:space="preserve">Kontor, garaaž, töökoda </t>
  </si>
  <si>
    <t>Ostetud elektrienergia</t>
  </si>
  <si>
    <t>Kogus (kWh)</t>
  </si>
  <si>
    <r>
      <t xml:space="preserve">Siin palun täita </t>
    </r>
    <r>
      <rPr>
        <u/>
        <sz val="11"/>
        <rFont val="Calibri"/>
        <family val="2"/>
        <scheme val="minor"/>
      </rPr>
      <t>kontor, töökoja või garaaži</t>
    </r>
    <r>
      <rPr>
        <sz val="11"/>
        <rFont val="Calibri"/>
        <family val="2"/>
        <scheme val="minor"/>
      </rPr>
      <t xml:space="preserve"> elektrienergia tarbimine. Eristada palun tavaelektrit taastuvelektrist (juhul kui on olemas näiteks taastuvenergia pakett). Palume siin kirjutada vaid </t>
    </r>
    <r>
      <rPr>
        <u/>
        <sz val="11"/>
        <rFont val="Calibri"/>
        <family val="2"/>
        <scheme val="minor"/>
      </rPr>
      <t>sisseostetud</t>
    </r>
    <r>
      <rPr>
        <sz val="11"/>
        <rFont val="Calibri"/>
        <family val="2"/>
        <scheme val="minor"/>
      </rPr>
      <t xml:space="preserve"> elektrienergia tarbimist.  Isetoodetud taastuvelekter siia alla ei kuulu ning selle osas andmeid välja otsida pole ka tarvis - selle heide on 0!</t>
    </r>
  </si>
  <si>
    <t>Isetoodetud soojusenergia</t>
  </si>
  <si>
    <t xml:space="preserve">Neid ridu täita juhul kui kontori, töökoja või garaaži puhul toodeti ise soojusenergiat ning seda on muust ettevõtte soojusenergia tarbimisest võimalik eristada. Oma valik tee rippmenüüst. </t>
  </si>
  <si>
    <t>Kerge kütteõli (kg)</t>
  </si>
  <si>
    <t>Ostetud soojusenergia</t>
  </si>
  <si>
    <t>Kaugküte - Eesti keskmine</t>
  </si>
  <si>
    <t xml:space="preserve">Juhul kui kontori, töökoja või garaaži puhul osteti sisse soojusenergiat (kaugkütte või lokaalkütte lahendus), siis täita neid ridu. Tarvis on ka teada kütuse liiki, millest sooja toodeti. Sobiva saab valida rippmenüüst. </t>
  </si>
  <si>
    <t xml:space="preserve">Lokaalküte - kerge kütteõli </t>
  </si>
  <si>
    <t>Kaugküte - põlevkivi</t>
  </si>
  <si>
    <t>Külmaained</t>
  </si>
  <si>
    <t>HCFE-235da2</t>
  </si>
  <si>
    <t xml:space="preserve">Juhul kui kontoripinnal, töökojas või garaažis on jahutusseadmeid, millesse on aasta jooksul külmaainet juurde lisatud, siis selle lisatud külmaaine kogus markeerida vastavas lahtris. Külmaaineid saab valida rippmenüüst. </t>
  </si>
  <si>
    <t>HFC-134a (R-134a)</t>
  </si>
  <si>
    <t>HFC-23 (R-23)</t>
  </si>
  <si>
    <t>Kontori jäätmed</t>
  </si>
  <si>
    <t xml:space="preserve">Kui kontori, töökoja või garaaži tegevusega on tekkinud jäätmeid, mis on jäätmekäitluspartnerile üle antud, siis palume nende tekkinud kogused eristada liigiti. </t>
  </si>
  <si>
    <t>Liigiti kogutud paber ja kartong</t>
  </si>
  <si>
    <t>Liigiti kogutud biojäätmed</t>
  </si>
  <si>
    <t>Tööreisid</t>
  </si>
  <si>
    <t xml:space="preserve">Siia palun loetleda aasta jooksul tehtud tööreisid, nii Eestisisesed kui rahvusvahelised. Vali rippmenüüst sobilik sõiduvahend ning Vahemaa tulpa lisa kilomeetrite arv, mis vastava sõiduvahendiga läbiti. </t>
  </si>
  <si>
    <t>Sõiduauto, mootorratas, mopeed ja takso</t>
  </si>
  <si>
    <t>Vahemaa (km)</t>
  </si>
  <si>
    <t>Sõiduauto (bio-CNG)</t>
  </si>
  <si>
    <t>Sõiduauto, keskmise suurusega (hübriid: bensiin/elekter)</t>
  </si>
  <si>
    <t>Mootorratas 4-taktiline &gt;750 cm³ (bensiin)</t>
  </si>
  <si>
    <t>Sõiduauto (pistikhübriid: bensiin/taastuvelekter) (keskmistatud)</t>
  </si>
  <si>
    <t>Sõiduauto (tavaelekter)</t>
  </si>
  <si>
    <t>Buss, rööbastransport, lennuk ja laev</t>
  </si>
  <si>
    <r>
      <t xml:space="preserve">Kõrvalolevas blokis kehtib sama andmesisestusloogika, mis ülalgi, ainult et siin on tarvis markeerida kilomeetrid </t>
    </r>
    <r>
      <rPr>
        <b/>
        <sz val="11"/>
        <color theme="1"/>
        <rFont val="Calibri"/>
        <family val="2"/>
        <scheme val="minor"/>
      </rPr>
      <t>ühe reisija kohta</t>
    </r>
    <r>
      <rPr>
        <sz val="11"/>
        <color theme="1"/>
        <rFont val="Calibri"/>
        <family val="2"/>
        <scheme val="minor"/>
      </rPr>
      <t>. See tähendab, et kui näiteks kolm inimest sõitsid bussiga Tartust Tallinna, on tarvis kas a)valida rippmenüüst Buss, kaugliin kolm korda; b) summeerida kolme korra Tartu-Tallinn distantsid (179 * 3= 537).</t>
    </r>
  </si>
  <si>
    <t>Buss, kaugliin (Eesti ja rahvusvaheline)</t>
  </si>
  <si>
    <t>Lennuk, Euroopa-sisene lend (kuni 3700 km), keskmine</t>
  </si>
  <si>
    <t xml:space="preserve">2022. aasta töölesõidud </t>
  </si>
  <si>
    <t>A. Töötajate igapäevane liikumine</t>
  </si>
  <si>
    <t>Töötaja</t>
  </si>
  <si>
    <t>Transpordiliik</t>
  </si>
  <si>
    <t>Kilomeetreid kodust tööle</t>
  </si>
  <si>
    <t>Tavapärane tööpäevade arv aastas</t>
  </si>
  <si>
    <t>Elektrijalgratas/-tõukeratas (tavaelekter)</t>
  </si>
  <si>
    <t>Vali</t>
  </si>
  <si>
    <t xml:space="preserve">Sellel lehel midagi täita pole tarvis: siin on kuvatud tulemused. </t>
  </si>
  <si>
    <t xml:space="preserve">Kiirviited: </t>
  </si>
  <si>
    <t>Tugitegevused</t>
  </si>
  <si>
    <t>Süsiniku sidumine</t>
  </si>
  <si>
    <t>C-sidumine (mõjualade väline kategooria)</t>
  </si>
  <si>
    <t>Mõjuala</t>
  </si>
  <si>
    <t>Kategooria</t>
  </si>
  <si>
    <t>Emissiooniallikas</t>
  </si>
  <si>
    <t>CO2-ekv, tonni</t>
  </si>
  <si>
    <r>
      <rPr>
        <b/>
        <sz val="10"/>
        <color theme="1"/>
        <rFont val="Calibri"/>
        <family val="2"/>
        <scheme val="minor"/>
      </rPr>
      <t xml:space="preserve">Mõjuala 1 </t>
    </r>
    <r>
      <rPr>
        <sz val="10"/>
        <color theme="1"/>
        <rFont val="Calibri"/>
        <family val="2"/>
        <scheme val="minor"/>
      </rPr>
      <t>- otsesed emissioonid</t>
    </r>
  </si>
  <si>
    <t>Emissioonid kütuste põletamisest ja põllumajanduslikest protsessidest</t>
  </si>
  <si>
    <t>Soojusenergia tarbimine</t>
  </si>
  <si>
    <t>Otsene N2O heide kokku</t>
  </si>
  <si>
    <t>kg N2O-N</t>
  </si>
  <si>
    <t>Kaudne N2O heide N lendumisest</t>
  </si>
  <si>
    <t>Kaudne N2O heide N leostumisest või väljauhtumisest</t>
  </si>
  <si>
    <t>Turvasmuldade CO2 ja N2O emissioonid emissioonid</t>
  </si>
  <si>
    <t>Karbamiidi kasutus</t>
  </si>
  <si>
    <t>t CO2-C</t>
  </si>
  <si>
    <t>Lupjamine</t>
  </si>
  <si>
    <t>Kütusekasutus põllutöödel</t>
  </si>
  <si>
    <r>
      <rPr>
        <b/>
        <sz val="10"/>
        <color theme="1"/>
        <rFont val="Calibri"/>
        <family val="2"/>
        <scheme val="minor"/>
      </rPr>
      <t>Mõjuala 2</t>
    </r>
    <r>
      <rPr>
        <sz val="10"/>
        <color theme="1"/>
        <rFont val="Calibri"/>
        <family val="2"/>
        <scheme val="minor"/>
      </rPr>
      <t xml:space="preserve"> - kaudsed emissioonid sisseostetud energiast</t>
    </r>
  </si>
  <si>
    <t>Ostetud energia</t>
  </si>
  <si>
    <t>Elekter (taimekasvatus)</t>
  </si>
  <si>
    <r>
      <rPr>
        <b/>
        <sz val="10"/>
        <color theme="1"/>
        <rFont val="Calibri"/>
        <family val="2"/>
        <scheme val="minor"/>
      </rPr>
      <t>Mõjuala 3</t>
    </r>
    <r>
      <rPr>
        <sz val="10"/>
        <color theme="1"/>
        <rFont val="Calibri"/>
        <family val="2"/>
        <scheme val="minor"/>
      </rPr>
      <t xml:space="preserve"> - muud kaudsed emissioonid</t>
    </r>
  </si>
  <si>
    <t>Sisseostetud tooted ja teenused</t>
  </si>
  <si>
    <t>Herbitsiidid</t>
  </si>
  <si>
    <t>Insektstsiidid</t>
  </si>
  <si>
    <t>Fungitsiidid</t>
  </si>
  <si>
    <t>Puhtimisvahendid</t>
  </si>
  <si>
    <t>Lämmastikväetised</t>
  </si>
  <si>
    <t>kg N</t>
  </si>
  <si>
    <t>Fosforväetised</t>
  </si>
  <si>
    <t>kg P2O5</t>
  </si>
  <si>
    <t>kg K2O</t>
  </si>
  <si>
    <t xml:space="preserve">kg </t>
  </si>
  <si>
    <t>Seemned</t>
  </si>
  <si>
    <t>Pakendid</t>
  </si>
  <si>
    <t>t</t>
  </si>
  <si>
    <t>Kütuste ja energiaga seotud kaudsed mõjud</t>
  </si>
  <si>
    <t>Põllutööde kütused</t>
  </si>
  <si>
    <t>L</t>
  </si>
  <si>
    <t>Taimekasvatuse soojusenergia</t>
  </si>
  <si>
    <t>Transport</t>
  </si>
  <si>
    <t>Väetiste transport</t>
  </si>
  <si>
    <t>Taimekaitsevahendite transport</t>
  </si>
  <si>
    <t>Külviseemne transport</t>
  </si>
  <si>
    <t>Jäätmed</t>
  </si>
  <si>
    <t>Jäätmekäitlus</t>
  </si>
  <si>
    <t>Mõjuala 1 - otsesed emissioonid</t>
  </si>
  <si>
    <t>Soojusenergia</t>
  </si>
  <si>
    <t>Loomakasvatushoone kaudne N2O</t>
  </si>
  <si>
    <t>kg N2O</t>
  </si>
  <si>
    <t>Sõnnikuhoidla otsene N2O</t>
  </si>
  <si>
    <t>Sõnnikuhoidla kaudne N2O</t>
  </si>
  <si>
    <t>Sõnnikuhoidla CH4</t>
  </si>
  <si>
    <t>kg CH4</t>
  </si>
  <si>
    <t>Loomade seedemetaan</t>
  </si>
  <si>
    <t>Sõidukite ja masinate kütused</t>
  </si>
  <si>
    <t>KOGU SIDUMINE t CO2</t>
  </si>
  <si>
    <t>Tulemused koondatult</t>
  </si>
  <si>
    <t>Koondjalajälg</t>
  </si>
  <si>
    <r>
      <t>t CO</t>
    </r>
    <r>
      <rPr>
        <sz val="11"/>
        <color theme="1"/>
        <rFont val="Calibri"/>
        <family val="2"/>
      </rPr>
      <t>₂</t>
    </r>
    <r>
      <rPr>
        <sz val="8.8000000000000007"/>
        <color theme="1"/>
        <rFont val="Calibri"/>
        <family val="2"/>
      </rPr>
      <t>-ekv</t>
    </r>
  </si>
  <si>
    <r>
      <t>t CO</t>
    </r>
    <r>
      <rPr>
        <b/>
        <sz val="11"/>
        <color theme="1"/>
        <rFont val="Calibri"/>
        <family val="2"/>
      </rPr>
      <t>₂-ekv</t>
    </r>
  </si>
  <si>
    <t>Mõjuala 1</t>
  </si>
  <si>
    <t>Mõjuala 2</t>
  </si>
  <si>
    <t>Mõjuala 3</t>
  </si>
  <si>
    <r>
      <t>t CO</t>
    </r>
    <r>
      <rPr>
        <b/>
        <sz val="11"/>
        <color theme="1"/>
        <rFont val="Calibri"/>
        <family val="2"/>
      </rPr>
      <t>₂</t>
    </r>
    <r>
      <rPr>
        <b/>
        <sz val="9.35"/>
        <color theme="1"/>
        <rFont val="Calibri"/>
        <family val="2"/>
      </rPr>
      <t>-ekv</t>
    </r>
  </si>
  <si>
    <t>Mõjuala 2 - kaudsed emissioonid sisseostetud energiast</t>
  </si>
  <si>
    <t>ostetud energia</t>
  </si>
  <si>
    <t>Sisseostetud elektrienergia</t>
  </si>
  <si>
    <t>Ostetud tooted</t>
  </si>
  <si>
    <t>Söödad</t>
  </si>
  <si>
    <t>Vesi (loomakasvatus)</t>
  </si>
  <si>
    <t>Ostetud tibud</t>
  </si>
  <si>
    <t>Kütuste ja energia tootmisega seotud kaudsed mõjud</t>
  </si>
  <si>
    <t>Transport ja logistika</t>
  </si>
  <si>
    <t>Taimse sööda transport</t>
  </si>
  <si>
    <t>Muu sööda transport</t>
  </si>
  <si>
    <r>
      <rPr>
        <b/>
        <sz val="10"/>
        <color theme="1"/>
        <rFont val="Calibri"/>
        <family val="2"/>
        <scheme val="minor"/>
      </rPr>
      <t>Mõjuala 1</t>
    </r>
    <r>
      <rPr>
        <sz val="10"/>
        <color theme="1"/>
        <rFont val="Calibri"/>
        <family val="2"/>
        <scheme val="minor"/>
      </rPr>
      <t xml:space="preserve"> - otsesed emissioonid</t>
    </r>
  </si>
  <si>
    <t>Energia tootmine</t>
  </si>
  <si>
    <t>Hajusheitmed</t>
  </si>
  <si>
    <t>Külmaainete lekked</t>
  </si>
  <si>
    <t>Sisseostetud energia</t>
  </si>
  <si>
    <t>Elektrienergia</t>
  </si>
  <si>
    <t>Ärireisid</t>
  </si>
  <si>
    <t>Töötajate tööle-koju liikumine</t>
  </si>
  <si>
    <t>Muud töölesõidud</t>
  </si>
  <si>
    <t>Energia ja kütuste tootmisega seotud kaudsed mõjud</t>
  </si>
  <si>
    <t>Kaugkütte võrgukaod</t>
  </si>
  <si>
    <t xml:space="preserve">NB! Kui süsiniku sidumine toimub, siis on see markeeritud miinusmärgiga ning see lahutatakse toote jalajäljest maha. Juhul kui süsiniku sidumist ei toimu (st mulla süsinikuvaru kahaneb, siis sel juhul on süsiniku sidumise väärtus plussmärgiga (toimub emissioon). </t>
  </si>
  <si>
    <t>Rukis</t>
  </si>
  <si>
    <t>kg CO2-ekv / 
tonni vilja kohta</t>
  </si>
  <si>
    <t>Piim</t>
  </si>
  <si>
    <t>Veiseliha</t>
  </si>
  <si>
    <t>Kanamuna</t>
  </si>
  <si>
    <t>kg CO2-ekv / kg rasva- ja valgusisaldusega korrigeeritud piima kohta</t>
  </si>
  <si>
    <t>kg CO2-ekv / kg veiseliha kohta</t>
  </si>
  <si>
    <t>kg CO2-ekv / kg sealiha kohta</t>
  </si>
  <si>
    <t>kg CO2-ekv / kg munade kohta</t>
  </si>
  <si>
    <t>kg CO2-ekv / kg broileriliha kohta</t>
  </si>
  <si>
    <t>kg CO2-ekv / kg lambaliha kohta</t>
  </si>
  <si>
    <t>kg CO2-ekv / kg pardiliha kohta</t>
  </si>
  <si>
    <t>kg CO2-ekv / kg kalkuniliha kohta</t>
  </si>
  <si>
    <t>Taimekasvatuse mõjuala 1</t>
  </si>
  <si>
    <t>N2O-N (turvasmullad) - F os, c</t>
  </si>
  <si>
    <t>põllumajandustootja haritavate turvasmullaga maa pindala</t>
  </si>
  <si>
    <t>Soojuseneriga</t>
  </si>
  <si>
    <t>EF (kgCO2e)</t>
  </si>
  <si>
    <t>Mõju</t>
  </si>
  <si>
    <t>MJ1</t>
  </si>
  <si>
    <t>EF</t>
  </si>
  <si>
    <t>Heide</t>
  </si>
  <si>
    <t>N2O-N (turvasmullad)  - F os, g</t>
  </si>
  <si>
    <t>põllumajandustootja turvasmuldadega püsirohumaa pindala</t>
  </si>
  <si>
    <t>Sööt, mille EF on teada</t>
  </si>
  <si>
    <t>CO2-C turvasmullad = (EF t cropland * P) + (EF t grassland * P)</t>
  </si>
  <si>
    <t>Fracremove</t>
  </si>
  <si>
    <t>Külmainete lekked</t>
  </si>
  <si>
    <t>Emissioon</t>
  </si>
  <si>
    <t>N2ON OTSENE</t>
  </si>
  <si>
    <r>
      <t xml:space="preserve">N2O-N (otsene) = N2O-N (inputs) + </t>
    </r>
    <r>
      <rPr>
        <i/>
        <sz val="11"/>
        <rFont val="Calibri"/>
        <family val="2"/>
        <scheme val="minor"/>
      </rPr>
      <t>N2O-N (os)</t>
    </r>
    <r>
      <rPr>
        <sz val="11"/>
        <rFont val="Calibri"/>
        <family val="2"/>
        <scheme val="minor"/>
      </rPr>
      <t xml:space="preserve"> + N2O-N (prp)</t>
    </r>
  </si>
  <si>
    <t>N2ONinpits</t>
  </si>
  <si>
    <t>N2O-N (inputs) = [F sn + F on + (F cr + F gcr + F pgr) + F som]*EF1</t>
  </si>
  <si>
    <t>Fsn</t>
  </si>
  <si>
    <t>Sünteetiliste väetistega põllule viidud N kogus</t>
  </si>
  <si>
    <t>Fon</t>
  </si>
  <si>
    <t>Orgaaniliste väetistega põllule viidud N kogus (sõnnik, kompost, kääritusjääk jne)</t>
  </si>
  <si>
    <t>aastas sõnnikuga põllule viidud N</t>
  </si>
  <si>
    <t>MJ3</t>
  </si>
  <si>
    <t>aastas reoveesettega põllule viidud N</t>
  </si>
  <si>
    <t>Võrgukaod</t>
  </si>
  <si>
    <t>aastas kompostiga põllule viidav N</t>
  </si>
  <si>
    <t>aastas muu orgaanilise väetise näol põllule viidav N</t>
  </si>
  <si>
    <t>Fcr</t>
  </si>
  <si>
    <t>Aastane põllukultuuride taimesete jäänustega põllule jäetud N kogus (nii maapealne kui maa-alune)</t>
  </si>
  <si>
    <t>Võrgukadude tarbeks</t>
  </si>
  <si>
    <t>Crop (culture)</t>
  </si>
  <si>
    <t>Vaatlusaluse seemnekultuuri keskmine kuivainesaak ha kohta, kg/ha</t>
  </si>
  <si>
    <t xml:space="preserve">kg KA/ha aastas </t>
  </si>
  <si>
    <t>Kaugküte - biomass (nt puiduhake, saepuru)</t>
  </si>
  <si>
    <t>Fresh yield (culture)</t>
  </si>
  <si>
    <t>Vaatlusaluse põllukultuuri keskmine saak ha kohta aidakaalus</t>
  </si>
  <si>
    <t>Taimekasvatuse mõjuala 3</t>
  </si>
  <si>
    <t>DRY</t>
  </si>
  <si>
    <t>Kultuuri kuivainesisalduse osakaal (KA/100)</t>
  </si>
  <si>
    <t>Kaugküte - freesturvas</t>
  </si>
  <si>
    <t>Area (culture)</t>
  </si>
  <si>
    <t>konkreetsel vaatlusaastal konkreetse põllukultuuri all olev põllumaa pindala</t>
  </si>
  <si>
    <t xml:space="preserve">Kaugküte - kerge kütteõli </t>
  </si>
  <si>
    <t>R ag (culture)</t>
  </si>
  <si>
    <t>Konkreetse põllukultuuri põhu-seemnesaagi suhe</t>
  </si>
  <si>
    <t>kg KA/ha</t>
  </si>
  <si>
    <t>Lämmastiku kogus</t>
  </si>
  <si>
    <t>Kaugküte - maagaas</t>
  </si>
  <si>
    <t>N ag (culture)</t>
  </si>
  <si>
    <t>põllukultuuri N sisaldus põhus</t>
  </si>
  <si>
    <t>Frac remove (culture)</t>
  </si>
  <si>
    <t>Seemnesaagi ja põhuga põllult eemaldatav N osakaal kultuuri kohta</t>
  </si>
  <si>
    <t>kg N/ha</t>
  </si>
  <si>
    <t>Kaugküte - põlevkiviõli raske fraktsioon</t>
  </si>
  <si>
    <t>R:S (culture)</t>
  </si>
  <si>
    <t>Konkreetse põllukultuuri juure:seemnesaagi suhe</t>
  </si>
  <si>
    <t>Lokaalküte - biomass (puiduhake)</t>
  </si>
  <si>
    <t>N bg (culture)</t>
  </si>
  <si>
    <t>põllukultuuri N sisaldus juurtes</t>
  </si>
  <si>
    <t>Lokaalküte - freesturvas</t>
  </si>
  <si>
    <t>Fgcr</t>
  </si>
  <si>
    <t>Aastane haljaskultuuridega taimesete jäänustega põllule jäetud N kogus (nii maapealne kui maa-alune)</t>
  </si>
  <si>
    <t>Vaatlusaluse haljaskultuuri keskmine kuivainesaak ha kohta, kg/ha</t>
  </si>
  <si>
    <t>Lokaalküte - maagaas</t>
  </si>
  <si>
    <t>Vaatlusaluse haljaskultuuri keskmine saak ha kohta aidakaalus, kg/ha</t>
  </si>
  <si>
    <t>Lokaalküte - põlevkiviõli raske fraktsioon</t>
  </si>
  <si>
    <t>Konkreetsel vaatlusaastal haljaskultuuri all olev põllumaa pindala</t>
  </si>
  <si>
    <t>haljaskultuuri N sisaldus maapealses biomassis</t>
  </si>
  <si>
    <t>Maapealse biomassiga põllult eemaldatav N osakaal kultuuri kohta</t>
  </si>
  <si>
    <t>Konkreetse haljaskultuuri juure-maapealse biomassi suhe</t>
  </si>
  <si>
    <t>haljaskultuuri N sisaldus juurtes</t>
  </si>
  <si>
    <t>Fpgr</t>
  </si>
  <si>
    <t>Püsirohumaade uuendamisel taimsete jäänustega põllule jäetud N kogus (nii maapealne kui maa-alune)</t>
  </si>
  <si>
    <t>Fosfori kogus</t>
  </si>
  <si>
    <t>Crop (pgr)</t>
  </si>
  <si>
    <t>konkreetse uuendamisega püsirohumaa keskmine saak aastas</t>
  </si>
  <si>
    <t>Fresh yield (pgr)</t>
  </si>
  <si>
    <t>Vaatlusaluse uuendamisega püsirohumaa kultuuri keskmine saak ha kohta aidakaalus</t>
  </si>
  <si>
    <t>Area (pgr)</t>
  </si>
  <si>
    <t>konkreetsel vaatlusaastal uuendatud püsirohumaa pindala (ha)</t>
  </si>
  <si>
    <t>N ag (pgr)</t>
  </si>
  <si>
    <t>püsirohumaa kultuuride N sisaldus maapealses biomassis</t>
  </si>
  <si>
    <t>Kaaliumi kogus</t>
  </si>
  <si>
    <t>Frac remove (pgr)</t>
  </si>
  <si>
    <t>maapealse biomassiga põllult eemaldatav N osakaal uuendamisega püsirohumaal</t>
  </si>
  <si>
    <t>RS (pgr)</t>
  </si>
  <si>
    <t>Konkreetse uuendamisega püsirohumaa kultuuri juure-maapealse biomassi suhe</t>
  </si>
  <si>
    <t>N bg (pgr)</t>
  </si>
  <si>
    <t>Uuendamisega püsirohumaa kultuuri N sisaldus juurtes</t>
  </si>
  <si>
    <t>Fuel</t>
  </si>
  <si>
    <t>Põllutööde keskmine kütusekulu</t>
  </si>
  <si>
    <t>L/ha</t>
  </si>
  <si>
    <t>Muu väetise kogus</t>
  </si>
  <si>
    <t>N2O-N (os)</t>
  </si>
  <si>
    <t xml:space="preserve">N2O-N (os) = (F os, c * EF os, c) + (F os, g * EF os, g) </t>
  </si>
  <si>
    <t xml:space="preserve">N2O-N (turvasmullad) </t>
  </si>
  <si>
    <t>aastane kuivendatud turvasmuldade majandamisest tulenev otsene N2O heide</t>
  </si>
  <si>
    <t>kg N2O-N aastas</t>
  </si>
  <si>
    <t>F os, c</t>
  </si>
  <si>
    <t>KOKKU</t>
  </si>
  <si>
    <t>kgCO2e</t>
  </si>
  <si>
    <t>EF os, c</t>
  </si>
  <si>
    <t>kuivendatud haritavate turvasmuldade kliimaregiooni-spetsiifiline emissioonifaktor</t>
  </si>
  <si>
    <t>kg N2O-N/ha</t>
  </si>
  <si>
    <t>Soojus</t>
  </si>
  <si>
    <t>F os, g</t>
  </si>
  <si>
    <t>Elekter</t>
  </si>
  <si>
    <t>EF os, g</t>
  </si>
  <si>
    <t>kuivendatud, kuid aktiivsest harimisest väljas oleva maa kliimaregiooni-spetsiifiline emissioonifaktor</t>
  </si>
  <si>
    <t>Sööt</t>
  </si>
  <si>
    <t>HERBITSIID SUM</t>
  </si>
  <si>
    <t>Isekasvatatud sööt</t>
  </si>
  <si>
    <t>Heitetegurid</t>
  </si>
  <si>
    <t>N2O-N (prp)</t>
  </si>
  <si>
    <t>N2O-N (prp) = (F prp, cpp * EF prp, cpp) + (F prp, so* EF prp, so)</t>
  </si>
  <si>
    <t>Talinisu</t>
  </si>
  <si>
    <t xml:space="preserve">N2O-N (prp) </t>
  </si>
  <si>
    <t>aastane karjatamisega rohumaale jäetud N-st tulenev otsene N2O heide, kg N2O-N aastas</t>
  </si>
  <si>
    <t>Vahemaa km</t>
  </si>
  <si>
    <t>fprp, cpp</t>
  </si>
  <si>
    <t>F prp, cpp</t>
  </si>
  <si>
    <t>aastane karjatamisega rohumaale jäetud N loomade uriinist ja väljaheidest (kg N aastas), veised, siga ja linnud</t>
  </si>
  <si>
    <t>Talioder</t>
  </si>
  <si>
    <t>N (t)</t>
  </si>
  <si>
    <t>keskmine loomade arv aastas</t>
  </si>
  <si>
    <t>Veekasutus</t>
  </si>
  <si>
    <t>Suvioder</t>
  </si>
  <si>
    <t>N ex (t)</t>
  </si>
  <si>
    <t>keskmine N väljutamine looma- või linnuliigi isendi kohta uriini või väljaheitega, kg N aastas (looma/linnu kohta)</t>
  </si>
  <si>
    <t>MS t,prp</t>
  </si>
  <si>
    <t xml:space="preserve">looma- või linnuliigi karjatamisel uriini või väljaheitega väljutatud N-I osakaal </t>
  </si>
  <si>
    <t>Munakanad</t>
  </si>
  <si>
    <t>Tritikale</t>
  </si>
  <si>
    <t>fprp, so</t>
  </si>
  <si>
    <t>F prp, so</t>
  </si>
  <si>
    <t>aastane karjatamisega rohumaale jäetud N loomade uriinist ja väljaheidetest (kg N aastas), lambad ja teised loomad</t>
  </si>
  <si>
    <t>Taliraps</t>
  </si>
  <si>
    <t>part</t>
  </si>
  <si>
    <t>Suviraps</t>
  </si>
  <si>
    <t>Talirüps</t>
  </si>
  <si>
    <t>EF prp, cpp</t>
  </si>
  <si>
    <t>karjatamisega rohumaale jäetud loomade uriinist ja väljaheidetest pärineva lämmastiku heitetegur, veised siga ja linnud</t>
  </si>
  <si>
    <t>Suvirüps</t>
  </si>
  <si>
    <t>EF prp, so</t>
  </si>
  <si>
    <t>karjatamisega rohumaale jäetud loomade uriinist ja väljaheidetest pärineva lämmastiku heitetegur, lambad ja teised loomad</t>
  </si>
  <si>
    <t>Heintaimede-liblikõieliste segu</t>
  </si>
  <si>
    <t>Üheaastased heintaimed (heinaks)</t>
  </si>
  <si>
    <t>Üheaastased heintaimed (haljalt)</t>
  </si>
  <si>
    <t>INSEKTSTSIID SUM</t>
  </si>
  <si>
    <t>Mitmeaastased heintaimed (heinaks)</t>
  </si>
  <si>
    <t>Töötajate tööle-kojusõidud</t>
  </si>
  <si>
    <t>CO2 urea</t>
  </si>
  <si>
    <t>CO2-C urea = M urea * EF urea</t>
  </si>
  <si>
    <t>Mitmeaastased heintaimed (haljalt)</t>
  </si>
  <si>
    <t>km (üks ots)</t>
  </si>
  <si>
    <t>tööpäevade arv aastas</t>
  </si>
  <si>
    <t>M urea</t>
  </si>
  <si>
    <t>kasutatud karbamiidi kogus aastas (t uureat aastas)</t>
  </si>
  <si>
    <t>Mais (haljalt)</t>
  </si>
  <si>
    <t>Haljassööt (teravili; heinaks)</t>
  </si>
  <si>
    <t>Haljassööt (teravili; haljalt)</t>
  </si>
  <si>
    <t>CO2 lime</t>
  </si>
  <si>
    <t>CO2-C liming = (M limestone * EF limestone) + (M dolomite * EF dolomite)</t>
  </si>
  <si>
    <t>Haljassööt (mais)</t>
  </si>
  <si>
    <t>M limestone</t>
  </si>
  <si>
    <t>aastane kasutatud lubjakivi kogus (CaCO3; t CaCO3 aastas)</t>
  </si>
  <si>
    <t>Haljassööt (muu)</t>
  </si>
  <si>
    <t>M dolomite</t>
  </si>
  <si>
    <t>aastane kasutatud dolomiidi kogus (CaMg(CO3)2; t CaMg(CO3)2 aastas)</t>
  </si>
  <si>
    <t>Vikk</t>
  </si>
  <si>
    <t>Lutsern (heinaks)</t>
  </si>
  <si>
    <t>N2ONatd</t>
  </si>
  <si>
    <t>N2O-N (atd) = [(F sn * Frac gasf) + ((F on + F prp) * Frac gasm)] * EF 4</t>
  </si>
  <si>
    <t>Lutsern (haljalt)</t>
  </si>
  <si>
    <t xml:space="preserve">N2O-N (atd) </t>
  </si>
  <si>
    <t>aastane N2O-N kogus, mis tuleneb N lendumisest (kg N2O-N aastas)</t>
  </si>
  <si>
    <t>FUNGITSIID SUM</t>
  </si>
  <si>
    <t>Ristik (heinaks)</t>
  </si>
  <si>
    <t>F sn</t>
  </si>
  <si>
    <t>aastane sünteetiliste väetistega põllule viidud N kogus (kg N aastas)</t>
  </si>
  <si>
    <t>Ristik (haljalt)</t>
  </si>
  <si>
    <t>Frac gasf</t>
  </si>
  <si>
    <t>osakaal sünteetiliste väetistega põllule viidavast N-st, mis lendub NH3 või NOx-na</t>
  </si>
  <si>
    <t>kg N, mis lendub/kg N põllule viidud mv</t>
  </si>
  <si>
    <t>Muud liblikõielised taimed (haljalt)</t>
  </si>
  <si>
    <t>F on</t>
  </si>
  <si>
    <t>aastane orgaaniliste väetistega põllule viidud N kogus (kg N aastas)</t>
  </si>
  <si>
    <t>F prp</t>
  </si>
  <si>
    <t>aastane karjatamisega rohumaale jäetud N loomade uriinist ja väljaheidest</t>
  </si>
  <si>
    <t>Frac gasm</t>
  </si>
  <si>
    <t>aastane orgaanilistest väetistest ja karjatamisega põllule/rohumaadele jäetud uriini ja väljaheidetest NH3 või NOx-na lenduv N</t>
  </si>
  <si>
    <t>(kg N, mis lendub/kg N põllule ja rohumaale viidud ov)</t>
  </si>
  <si>
    <t>EF 4</t>
  </si>
  <si>
    <t>heitetegur lendunud ja atmosfäärist muldadele ja veekogudesse ladestunud N-st tulenevate N2O heidete leidmiseks</t>
  </si>
  <si>
    <t>(kg N2O-N (kg NH3-N + kg NOx-N lendunud)</t>
  </si>
  <si>
    <t>N2Oatd</t>
  </si>
  <si>
    <t>N2O (atd) = N2O-N (atd)*(44/28) (kg)</t>
  </si>
  <si>
    <t>N2ON(l)</t>
  </si>
  <si>
    <t>N2O-N (l) = (F sn + F on + F prp + F cr+ F gcr + F pgr  + F som) * Frac leach * EF 5</t>
  </si>
  <si>
    <t>N2O-N (l)</t>
  </si>
  <si>
    <t>aastane N2O-N kogus, mis tuleneb N sisendi leostumisest ja väljauhtumisest</t>
  </si>
  <si>
    <t>aastane sünteetiliste väetistega põllule viidud N kogus</t>
  </si>
  <si>
    <t>aastane orgaaniliste väetistega põllule viidud N kogus</t>
  </si>
  <si>
    <t>F cr, F gcr, F pgr</t>
  </si>
  <si>
    <t xml:space="preserve">aastane taimesete jäänustega põllule jäetud N kogus (kg N aastas). Nii maapealne kui maa-alune, mh ka liblikõieliste ja haljaskultuuridega põllule jäetav N (F gcr). Siia alla ka rohumaade uuendamine (F pgr). </t>
  </si>
  <si>
    <t>Frac leach</t>
  </si>
  <si>
    <t>osakaal põllule viidavast/jäetavast N-st, mis leostub või uhutakse välja</t>
  </si>
  <si>
    <t>kg N/kg N põllule viidav või jäetav sisend</t>
  </si>
  <si>
    <t>PUHTIMISVAHEND SUM</t>
  </si>
  <si>
    <t>EF 5</t>
  </si>
  <si>
    <t>heitetegur leostunud ja mullast välja uhutud N sisendist tulenevate N2O heidete leidmiseks</t>
  </si>
  <si>
    <t>kg N2O-N (kg N mis leotusnud või välja uhutud</t>
  </si>
  <si>
    <t>Eriheitetegur</t>
  </si>
  <si>
    <t>Mõju (kgCO2e)</t>
  </si>
  <si>
    <t>N2O(l)</t>
  </si>
  <si>
    <t>N2O (l) = N2O-N (l)*(44/28) (kg)</t>
  </si>
  <si>
    <t>1.1.1 Söödas sisalduv lämmastiku mass</t>
  </si>
  <si>
    <t>MNsööt = mNsööt * Msööt/1000</t>
  </si>
  <si>
    <t xml:space="preserve">Kanad </t>
  </si>
  <si>
    <t>MNsööt</t>
  </si>
  <si>
    <t>söödas sisalduv lämmastiku mass</t>
  </si>
  <si>
    <t>Kaudsed mõjud</t>
  </si>
  <si>
    <t>mNsööt</t>
  </si>
  <si>
    <t>lämmastikusisaldus loomasöödas</t>
  </si>
  <si>
    <t>g/kg</t>
  </si>
  <si>
    <t>Msööt</t>
  </si>
  <si>
    <t>sööda mass</t>
  </si>
  <si>
    <t>Sõidukite kütused</t>
  </si>
  <si>
    <t>1.1.6 lindude väljaheites ssialduv lämmastiku mass</t>
  </si>
  <si>
    <t>MNväljaheited = MNsööt - Mmunad*0,0181 - Mjuurdekasv*0,0288</t>
  </si>
  <si>
    <t>MNväljaheited</t>
  </si>
  <si>
    <t>väljaheidetes sisalduv lämmastikukogus</t>
  </si>
  <si>
    <t>Mmunad</t>
  </si>
  <si>
    <t>kanamunade mass</t>
  </si>
  <si>
    <t>lämmastiku ladestumine munadesse</t>
  </si>
  <si>
    <t>kg/kg</t>
  </si>
  <si>
    <t>Mjuurdekasv</t>
  </si>
  <si>
    <t>noorlinnu kehamass üleminekul tootmisgruppi, munakanadel juurdekasv aastas</t>
  </si>
  <si>
    <t>lämmastiku ladestumine juurdekasvu</t>
  </si>
  <si>
    <t>1.2 Väljaheites sisalduv lämmastik, eriheite meetod</t>
  </si>
  <si>
    <t>tonni</t>
  </si>
  <si>
    <t>kgCO2e/t</t>
  </si>
  <si>
    <t>MNväljaheited = L * qN</t>
  </si>
  <si>
    <t>aastaloom või -lind</t>
  </si>
  <si>
    <t>qN</t>
  </si>
  <si>
    <t>väljaheites sisalduva lämmastiku eriheide</t>
  </si>
  <si>
    <t>kg/aastaloom või -lind</t>
  </si>
  <si>
    <t>2. Heitmed loomakasvatushoonetest</t>
  </si>
  <si>
    <t>2.1 Karjatamise tegur</t>
  </si>
  <si>
    <t>sk = 1 - (d/365 * h/24)</t>
  </si>
  <si>
    <t>sk</t>
  </si>
  <si>
    <t>karjatamise tegur</t>
  </si>
  <si>
    <t>d</t>
  </si>
  <si>
    <t>karjatamispäevade arv aastas</t>
  </si>
  <si>
    <t>h</t>
  </si>
  <si>
    <t>keskmine karjatamistundide arv ööpäevas karjatamisperioodil</t>
  </si>
  <si>
    <t>2.2  Loomakasvatushoonest või lindlast väljutatava ammoniaagi heitkogus</t>
  </si>
  <si>
    <t>MNH3laut = MNväljaheited * klaut/100 * sk</t>
  </si>
  <si>
    <t>MNH3laut</t>
  </si>
  <si>
    <t>loomakasvatushoonest või lindlast väljutatava ammoniaagi heitkogus</t>
  </si>
  <si>
    <t>kg/aastas</t>
  </si>
  <si>
    <t>klautMK</t>
  </si>
  <si>
    <t>lämmastiku lendumine ammoniaagina munakanad</t>
  </si>
  <si>
    <t>klautNL</t>
  </si>
  <si>
    <t>lämmastiku lendumine ammoniaagina noorlinnud</t>
  </si>
  <si>
    <t>klaut keskmine</t>
  </si>
  <si>
    <t>2.3  loomakasvatushoonest väljutatava metaani heitkogus</t>
  </si>
  <si>
    <t>MCH4laut = L * qCH4laut * sk</t>
  </si>
  <si>
    <t>MCH4laut</t>
  </si>
  <si>
    <t>loomakasvatushoonest väljutatava metaani heitkogus, kg/aastas</t>
  </si>
  <si>
    <t>aastaloom või aastalind, tk</t>
  </si>
  <si>
    <t>qCH4laut</t>
  </si>
  <si>
    <t>eriheide, kg/aastaloom või -lind</t>
  </si>
  <si>
    <t>Kütus</t>
  </si>
  <si>
    <t>3. Heitmed sõnnikuhoidlast</t>
  </si>
  <si>
    <t>3.1  sõnnikuhoidlast väljutatava ammoniaagi heitkogus</t>
  </si>
  <si>
    <t>MNH3sõnnikuhoidla = (MNväljaheited * sk - MNH3laut/1,214) * ksõnnikuhoidla/100</t>
  </si>
  <si>
    <t>MNH3sõnnikuhoidla</t>
  </si>
  <si>
    <t>sõnnikuhoidlast väljutatava ammoniaagi heitkogus</t>
  </si>
  <si>
    <t>Elektrienergia võrgukaod</t>
  </si>
  <si>
    <t>ksõnnikuhoidla</t>
  </si>
  <si>
    <t>lämmastiku lendumine ammoniaagina</t>
  </si>
  <si>
    <t>3.2 sõnnikuhoidlast väljutatava metaani heitkogus</t>
  </si>
  <si>
    <t>MCH4sõnnikuhoidla = L * qCH4sõnnikuhoidla * sk</t>
  </si>
  <si>
    <t>Kaalu erinevus</t>
  </si>
  <si>
    <t>Heitetegur</t>
  </si>
  <si>
    <t>MCH4sõnnikuhoidla</t>
  </si>
  <si>
    <t>sõnnikuhoidlast väljutatava metaani heitkogus</t>
  </si>
  <si>
    <t>aastaloom või aastalind</t>
  </si>
  <si>
    <t>qCH4sõnnikuhoidla</t>
  </si>
  <si>
    <t>3.3 sõnnikuhoidlast väljutatava dilämmastikoksiidi heitkogus</t>
  </si>
  <si>
    <t>MN2Osõnnikuhoidla = MNväljaehited * sk * ksõnnikuhoidla/100</t>
  </si>
  <si>
    <t>MN20sõnnikuhoidla</t>
  </si>
  <si>
    <t>sõnnikuhoidlast väljutatava dilämmastikoksiidi heitkogus</t>
  </si>
  <si>
    <t>Karjatamine</t>
  </si>
  <si>
    <t>Otsene</t>
  </si>
  <si>
    <t>Lendumine</t>
  </si>
  <si>
    <t>lämmastiku lendumine dilämmastikoksiidina</t>
  </si>
  <si>
    <t>Leostumine</t>
  </si>
  <si>
    <t>4. Aastalooma või -linnu arvutamine</t>
  </si>
  <si>
    <t>SUM</t>
  </si>
  <si>
    <t>Aastaloom või -lind = söötmispäevade arvu summa / päevade arv aastas</t>
  </si>
  <si>
    <t>5. Kaudne N2O</t>
  </si>
  <si>
    <t>Taimekasvatuse transport</t>
  </si>
  <si>
    <t>5.1 Loomakasvatushoone kaudne N2O</t>
  </si>
  <si>
    <t>Transpordi EF</t>
  </si>
  <si>
    <t>MN2Olaut=MNH3laut * (14/17) * 0,01 * (44/28)</t>
  </si>
  <si>
    <t>5.2 Sõnnikuhoidla kaudne N2O</t>
  </si>
  <si>
    <t>MN2Osõnnikuhoidla=MNH3sõnnikuhoidla * (14/17) * 0,01 * (44/28)</t>
  </si>
  <si>
    <t>Taimne põhisööt</t>
  </si>
  <si>
    <t>Transpordi heitetegur</t>
  </si>
  <si>
    <t>broileri kehamass realiseerimisel, noorlinnu kehamass üleminekul tootmisgruppi, munakanadel juurdekasv aastas</t>
  </si>
  <si>
    <t>lämmastiku lendumine ammoniaagina broiler</t>
  </si>
  <si>
    <t xml:space="preserve">Veised </t>
  </si>
  <si>
    <t>Vanuse- ja toodangurühmade kaupa eristatuna</t>
  </si>
  <si>
    <t>1.1.2 Piimas sisalduv lämmastiku mass</t>
  </si>
  <si>
    <t>MNpiim = mNpiim * Mpiim/1000</t>
  </si>
  <si>
    <t>MNpiim</t>
  </si>
  <si>
    <t>piimas sisalduv lämmastiku mass</t>
  </si>
  <si>
    <t>mNpiim</t>
  </si>
  <si>
    <t>lämmastikusisaldus piimas</t>
  </si>
  <si>
    <t>Mpiim</t>
  </si>
  <si>
    <t>toodetud piima mass</t>
  </si>
  <si>
    <t>1.1.3 juurdekasvus sisalduv lämmastiku mass</t>
  </si>
  <si>
    <t>MNjuurdekasv = mNjuurdekasv * Mjuurdekasv/1000</t>
  </si>
  <si>
    <t>MNjuurdekasv</t>
  </si>
  <si>
    <t>juurdekasvus sisalduv lämmastiku mass</t>
  </si>
  <si>
    <t>mNjuurdekasv</t>
  </si>
  <si>
    <t>lämmastikusisaldus juurdekasvus</t>
  </si>
  <si>
    <t>keskmine juurdekasv</t>
  </si>
  <si>
    <t>1.1.4 lootes sisalduv lämmastiku mass</t>
  </si>
  <si>
    <t>MNloode = mNloode * Mloode/1000</t>
  </si>
  <si>
    <t>MNloode</t>
  </si>
  <si>
    <t>lootes sisalduv lämmastiku mass</t>
  </si>
  <si>
    <t>mNloode</t>
  </si>
  <si>
    <t>lämmastikusisaldus lootes</t>
  </si>
  <si>
    <t>Mloode</t>
  </si>
  <si>
    <t>vasikate mass</t>
  </si>
  <si>
    <t>1.1.5 väljaheites sisalduv lämmastiku mass veiste ja sigade puhul</t>
  </si>
  <si>
    <t>MNväljaheited = MNsööt - MNpiim - MNjuurdekasv - MNloode</t>
  </si>
  <si>
    <t>klautP</t>
  </si>
  <si>
    <t>lämmastiku lendumine ammoniaagina piimalehmad jne</t>
  </si>
  <si>
    <t>klautV</t>
  </si>
  <si>
    <t>lämmastiku lendumine ammoniaagina vasikad</t>
  </si>
  <si>
    <t>Sead</t>
  </si>
  <si>
    <t>1.1 väljaheites sisalduv lämmastik, lämmastikubilansi meetod</t>
  </si>
  <si>
    <t>söödas sisalduv lämmastiku mass, kg</t>
  </si>
  <si>
    <t>lämmastikusisaldus loomasöödas, g/kg</t>
  </si>
  <si>
    <t>sööda mass, kg</t>
  </si>
  <si>
    <t>juurdekasvus sisalduv lämmastiku mass, kg</t>
  </si>
  <si>
    <t>lämmastikusisaldus juurdekasvus, g/kg</t>
  </si>
  <si>
    <t>keskmine juurdekasv, kg</t>
  </si>
  <si>
    <t>lootes sisalduv lämmastiku mass, kg</t>
  </si>
  <si>
    <t>lämmastikusisaldus lootes, g/kg</t>
  </si>
  <si>
    <t>põrsaste mass, kg</t>
  </si>
  <si>
    <t>väljaheidetes sisalduv lämmastikukogus, kg</t>
  </si>
  <si>
    <t>klaut</t>
  </si>
  <si>
    <t>lämmastiku lendumine ammoniaagina nuum</t>
  </si>
  <si>
    <t>lämmastiku lendumine ammoniaagina võõrde</t>
  </si>
  <si>
    <t>lämmastiku lendumine ammoniaagina imetavad</t>
  </si>
  <si>
    <t>tegur</t>
  </si>
  <si>
    <t>aastaloom -ˇsöötmispäev on kõik päevad, mil loom on karjas või lind lindlas, välja arvatud tema karjast väljaviimise päev.</t>
  </si>
  <si>
    <t>Lambad</t>
  </si>
  <si>
    <t>Soolesisese käärimise heide = EF (T) * N (T)</t>
  </si>
  <si>
    <t>Soolesisese käärimise heide</t>
  </si>
  <si>
    <t>Heide loomade soolesisesest käärimisest sõltuvalt loomakategooriast (kg CH4 aastas)</t>
  </si>
  <si>
    <t>EF (T)</t>
  </si>
  <si>
    <t>Emissioonifaktor, mis iseloomustab loomakategooriati tema seedetegevusel tekkiva metaani kogust (kg CH4 aastas)</t>
  </si>
  <si>
    <t>N (T)</t>
  </si>
  <si>
    <t>Keskmine loomade arv aastas, eristatuna loomakategooriati</t>
  </si>
  <si>
    <t>CH4 sõnnik (T) = N * EF (sõnnik)</t>
  </si>
  <si>
    <t>CH4 sõnnik (T)</t>
  </si>
  <si>
    <t>aastane metaaniheide sõnnikukäitlusest loomakategooriati (T), kg CH4 aastas</t>
  </si>
  <si>
    <t>EF (sõnnik)</t>
  </si>
  <si>
    <t>heitetegur, mis sõltub sõnnikukäitlusüsteemist, loomakategooriast ning tootlikkustasemest (g CH4/kg VS)</t>
  </si>
  <si>
    <t>N</t>
  </si>
  <si>
    <t>Lämmastiku eritamine loomakasvatusest</t>
  </si>
  <si>
    <t>Nex (T) = N rate (T) * TAM (T)/1000 * 365</t>
  </si>
  <si>
    <t>Nex (T)</t>
  </si>
  <si>
    <t>aastane lämmastiku väljutamine loomakategooriati T, kg N looma kohta aastas</t>
  </si>
  <si>
    <t>N rate (T)</t>
  </si>
  <si>
    <t>lämmastiku eritamise määr loomakategooriati, kg N 1000 kg looma eluskaalu kohta päevas</t>
  </si>
  <si>
    <t>TAM (T)</t>
  </si>
  <si>
    <t>tüüpiline loomas eluskaal loomakategooria T kohta, kg looma kohta</t>
  </si>
  <si>
    <t>otsesed N2O emissioonid sõnnikukäitlusest</t>
  </si>
  <si>
    <t>N2O d mm = N (T) * Nex (T) * MS (T, S) * EF3 (S) * (44/28)</t>
  </si>
  <si>
    <t>N2O d mm</t>
  </si>
  <si>
    <t>otsesed N2O heitmed sõnnikukäitlusest sõltuvalt loomakategooriast, kg N2O aastas</t>
  </si>
  <si>
    <t>aastane loomade arv, loomakategooriati (T) eristatuna</t>
  </si>
  <si>
    <t>aastane keskmine N eritamine looma kohta, eristatud loomakategooriati (T), kg N  aastas</t>
  </si>
  <si>
    <t>MS (T,S)</t>
  </si>
  <si>
    <t>vaatlusaluse sõnnikukäitlusviisi osaaal.  See on sõltuvuses loomakategooriast ja sõnnikukäitlusviisist.</t>
  </si>
  <si>
    <t>EF3 (S)</t>
  </si>
  <si>
    <t>heitetegur otseste N2O heitmete tuvastamiseks vaatlusaluse sõnnikukäitlusviisi puhul (S), kg N2O-N/kg N</t>
  </si>
  <si>
    <t>S</t>
  </si>
  <si>
    <t>sõnnikukäitlusviis</t>
  </si>
  <si>
    <t>kaudsed N2O emissioonid sõnnikukäitlusest</t>
  </si>
  <si>
    <t>N volatilization-MMS = N (T) * Nex (T) * MS (T, S) * (Frac gasMS) (T,S)</t>
  </si>
  <si>
    <t>N volatilization-MMS</t>
  </si>
  <si>
    <t>sõnnikus sisalduv N, mis lendub NH3 või NOx-na, kg N aastas</t>
  </si>
  <si>
    <t>aastane keskmine N eritamine looma kohta, eristatud loomakategooriati (T), kg N looma kohta aastas</t>
  </si>
  <si>
    <t>Frac gasMS</t>
  </si>
  <si>
    <t>protsent lämmastikust  vaatlusaluse loomakategooria ja sõnnikukäitlusviisi puhul, mis lendub NH3 või NOx-na, %</t>
  </si>
  <si>
    <t>N2O g mm = N volatilization-MMS * EF4 * (44/28)</t>
  </si>
  <si>
    <t>N2O g mm</t>
  </si>
  <si>
    <t>kaudsed N2O heitmed N lendumisest, kg N2O aastas</t>
  </si>
  <si>
    <t>heitetegur N2O heitmete leidmiseks, mis tuleneb N lendumisest NH3 või NOx-na ja nende hilisemalt depositsioonist maapinnale või veekogudesse, kg N2O-N/(kg NH3-N+kg NOx-N)</t>
  </si>
  <si>
    <t>Pardid</t>
  </si>
  <si>
    <t>Lämmastiku eritamine loomakasvatusest, Tier 1</t>
  </si>
  <si>
    <t>Orgaanilise aine sisaldus väljaheites</t>
  </si>
  <si>
    <t>VS = {FI * [1-(DE%/100)]} * (1 - ASH%/100)</t>
  </si>
  <si>
    <t>VS</t>
  </si>
  <si>
    <t>päevane orgaanilise aine väljutamine sõnnikus, kg päevas</t>
  </si>
  <si>
    <t>FI</t>
  </si>
  <si>
    <t>loomade aastane sööda kogutarbimine, kg</t>
  </si>
  <si>
    <t>DE%</t>
  </si>
  <si>
    <t xml:space="preserve">sööda seeduvusprotsent </t>
  </si>
  <si>
    <t>ASH%</t>
  </si>
  <si>
    <t>sõnniku tuhasisaldus, % tarbitud söödast (vaikeväärtus lindudel 10%)</t>
  </si>
  <si>
    <t>Metaani heitmed sõnnikukäitlusest</t>
  </si>
  <si>
    <t>CH4 = EF(T) * N (T)</t>
  </si>
  <si>
    <t xml:space="preserve">CH4 </t>
  </si>
  <si>
    <t>metaani emissioonid sõnnikuhoidlast, kg CH4 aastas</t>
  </si>
  <si>
    <t>metaaniheited sõnnikukäitlusest (kg CH4/loom aastas); IPCC vaikeväärtus</t>
  </si>
  <si>
    <t>kaudsed N2O emissioonid sõnnikukäitlusest, mis tulenevad N lendumisest NH3 või NOx-na lendumisest</t>
  </si>
  <si>
    <t>osakaal lämmastikust  vaatlusaluse loomakategooria ja sõnnikukäitlusviisi puhul, mis lendub NH3 või NOx-na</t>
  </si>
  <si>
    <t>Karjatamise osakaal</t>
  </si>
  <si>
    <t>Kalkunid</t>
  </si>
  <si>
    <t>Pindala</t>
  </si>
  <si>
    <t>Pindala kokku</t>
  </si>
  <si>
    <t>Saagikus</t>
  </si>
  <si>
    <t>Kütusekulu kokku</t>
  </si>
  <si>
    <t>Põllutööde kütusekulu</t>
  </si>
  <si>
    <t>Kütusekulu/ha</t>
  </si>
  <si>
    <t>Külvitihedus, kg/ha</t>
  </si>
  <si>
    <t>Sünteetiline N, kg</t>
  </si>
  <si>
    <t>Herbitsiid, l/kg</t>
  </si>
  <si>
    <t>Fungitsiid, l/kg</t>
  </si>
  <si>
    <t>Insektstsiid. l/kg</t>
  </si>
  <si>
    <t>N2O-N, otsene</t>
  </si>
  <si>
    <t>N2O otsene, kg CO2-ekv</t>
  </si>
  <si>
    <t>N2O-N, kaudne lendumine</t>
  </si>
  <si>
    <t>N2O kaudne lendumine, kg CO2-ekv</t>
  </si>
  <si>
    <t>N2O-N kaudne leostumine</t>
  </si>
  <si>
    <t>N2O kaudne leostumine, kg CO2-ekv</t>
  </si>
  <si>
    <t>Toodang</t>
  </si>
  <si>
    <t>Toodang_kokku</t>
  </si>
  <si>
    <t>Osakaal toodangust</t>
  </si>
  <si>
    <t>kg CO2-ekv / tonni vilja kohta</t>
  </si>
  <si>
    <t>Lubiväetised</t>
  </si>
  <si>
    <t>Karbamiid</t>
  </si>
  <si>
    <t>l</t>
  </si>
  <si>
    <t>kg toimeainet</t>
  </si>
  <si>
    <t>Pindala osakaal</t>
  </si>
  <si>
    <t>Turvasmuldade heitmed</t>
  </si>
  <si>
    <t>P väetis</t>
  </si>
  <si>
    <t>K väetis</t>
  </si>
  <si>
    <t>Kütusekasutus, l</t>
  </si>
  <si>
    <t>Herbitsiid, kg</t>
  </si>
  <si>
    <t>Fungitsiid, kg</t>
  </si>
  <si>
    <t>Insektsitsiid, kg</t>
  </si>
  <si>
    <t>Külviseeme</t>
  </si>
  <si>
    <t>Saak_kokku_tonni</t>
  </si>
  <si>
    <t>Talinisu allakülviga</t>
  </si>
  <si>
    <t>Suvinisu allakülviga</t>
  </si>
  <si>
    <t>Talioder allakülviga</t>
  </si>
  <si>
    <t>Suvioder allakülviga</t>
  </si>
  <si>
    <t>Kaer allakülviga</t>
  </si>
  <si>
    <t>Talirukis</t>
  </si>
  <si>
    <t>Talirukis allakülviga</t>
  </si>
  <si>
    <t xml:space="preserve"> </t>
  </si>
  <si>
    <t>Hernes</t>
  </si>
  <si>
    <t>Põlduba</t>
  </si>
  <si>
    <t>Otsene N2O</t>
  </si>
  <si>
    <t>Kaudne N2O, lendumine</t>
  </si>
  <si>
    <t>Kaudne N2O, leostumine</t>
  </si>
  <si>
    <t>Turvasmuldadelt heited</t>
  </si>
  <si>
    <t>Külviseemne tootmine</t>
  </si>
  <si>
    <t>Mineraalse N väetise tootmine</t>
  </si>
  <si>
    <t>Mineraalse P väetise tootmine</t>
  </si>
  <si>
    <t>kg P</t>
  </si>
  <si>
    <t>Mineraalse K väetise tootmine</t>
  </si>
  <si>
    <t>kg K</t>
  </si>
  <si>
    <t>Lubiväetis</t>
  </si>
  <si>
    <t>Insektitsiidid</t>
  </si>
  <si>
    <t>Toodangu kogus</t>
  </si>
  <si>
    <t>Veis; piim</t>
  </si>
  <si>
    <t>Vabapidamine</t>
  </si>
  <si>
    <t>Sisseostetud sööt</t>
  </si>
  <si>
    <t>Isetoodetud taimne sööt</t>
  </si>
  <si>
    <t>Vesi</t>
  </si>
  <si>
    <t>Kanad lihale</t>
  </si>
  <si>
    <t>Broilerite mass</t>
  </si>
  <si>
    <t>Veis lihale</t>
  </si>
  <si>
    <t>AF piimale</t>
  </si>
  <si>
    <t>Liha % käibest</t>
  </si>
  <si>
    <t>Seatoodang</t>
  </si>
  <si>
    <t>Parditoodang</t>
  </si>
  <si>
    <t>Kalkunitoodang</t>
  </si>
  <si>
    <t>Veis elule</t>
  </si>
  <si>
    <t>Lambatoodang</t>
  </si>
  <si>
    <t>Kanad elule</t>
  </si>
  <si>
    <t>AF lihale</t>
  </si>
  <si>
    <t>Elule kanade % käibest</t>
  </si>
  <si>
    <t>Piima valgu%</t>
  </si>
  <si>
    <t>Lammas elule</t>
  </si>
  <si>
    <t>Munade tootmine</t>
  </si>
  <si>
    <t>Piima rasva%</t>
  </si>
  <si>
    <t>Lammas lihaks</t>
  </si>
  <si>
    <t>Munade % käibest</t>
  </si>
  <si>
    <t>FCPM</t>
  </si>
  <si>
    <t>Isetoodetud sööt</t>
  </si>
  <si>
    <t>Sidumine</t>
  </si>
  <si>
    <t>Loomad, kelle tapavanus &gt;1 a</t>
  </si>
  <si>
    <t>Veised, 1. aasta</t>
  </si>
  <si>
    <t>Veised, 2. aasta</t>
  </si>
  <si>
    <t>Veised, 3. aasta</t>
  </si>
  <si>
    <t>Karjatamine (N2O heide)</t>
  </si>
  <si>
    <t>Lambad, 1. aasta</t>
  </si>
  <si>
    <t>Lambad, 2. aasta</t>
  </si>
  <si>
    <t>Lambad, 3. aasta</t>
  </si>
  <si>
    <t>Kaudne atd</t>
  </si>
  <si>
    <t>Kaudne leach</t>
  </si>
  <si>
    <t>Vesi ja veekäitlus</t>
  </si>
  <si>
    <t>Osakaal kõigi põldude peale kokku (%)</t>
  </si>
  <si>
    <t>läga</t>
  </si>
  <si>
    <t>kompost</t>
  </si>
  <si>
    <t>tahesõnnik</t>
  </si>
  <si>
    <t>kultuur</t>
  </si>
  <si>
    <t xml:space="preserve">pindala ha </t>
  </si>
  <si>
    <t>saagikus (t/ha)</t>
  </si>
  <si>
    <t xml:space="preserve">Põllule jäetava põhu osakaal </t>
  </si>
  <si>
    <t>allakülv</t>
  </si>
  <si>
    <t>allakülvi biomass  KA  t/ ha</t>
  </si>
  <si>
    <t>vahekultuur</t>
  </si>
  <si>
    <t>vahekultuuriga  põllumaa osakaal antud kultuuri kohta</t>
  </si>
  <si>
    <t>vahekultuuri biomass KA t/ha</t>
  </si>
  <si>
    <t>Orgaanilise väetise liik 1</t>
  </si>
  <si>
    <t>Orgaanilise väetise nr 1 kogus t / ha</t>
  </si>
  <si>
    <t xml:space="preserve">Väetatavate hektarite osakaal </t>
  </si>
  <si>
    <t>Orgaanilise väetise liik 2</t>
  </si>
  <si>
    <t>Orgaanilise väetise nr 2 kogus t / ha</t>
  </si>
  <si>
    <t>Väetatavate hektarite osakaal</t>
  </si>
  <si>
    <t>Orgaanilise väetise liik 3</t>
  </si>
  <si>
    <t>Orgaanilise väetise nr 3 kogus t / ha</t>
  </si>
  <si>
    <t>Vähendatud kündmine</t>
  </si>
  <si>
    <t>Teraviljad, õlikultuurid, kartul, aedviljad, hernes, uba</t>
  </si>
  <si>
    <t>Kultuur 1</t>
  </si>
  <si>
    <t>Kultuur 2</t>
  </si>
  <si>
    <t>Kultuur 3</t>
  </si>
  <si>
    <t>Kultuur 4</t>
  </si>
  <si>
    <t>Kultuur 5</t>
  </si>
  <si>
    <t>Kultuur 6</t>
  </si>
  <si>
    <t>Kultuur 7</t>
  </si>
  <si>
    <t>Kultuur 8</t>
  </si>
  <si>
    <t>Kultuur 9</t>
  </si>
  <si>
    <t>Kultuur 10</t>
  </si>
  <si>
    <t>Kultuur 11</t>
  </si>
  <si>
    <t>Kultuur 12</t>
  </si>
  <si>
    <t>Kultuur 13</t>
  </si>
  <si>
    <t>Kultuur 14</t>
  </si>
  <si>
    <t>Kultuur 15</t>
  </si>
  <si>
    <t>Kultuur 16</t>
  </si>
  <si>
    <t>Kultuur 17</t>
  </si>
  <si>
    <t>Kultuur 18</t>
  </si>
  <si>
    <t>Kultuur 19</t>
  </si>
  <si>
    <t>Kultuur 20</t>
  </si>
  <si>
    <t xml:space="preserve">biomass </t>
  </si>
  <si>
    <t>Põllule jäetava biomassi osakaal</t>
  </si>
  <si>
    <t>Kultuur 22</t>
  </si>
  <si>
    <t>Kultuur 23</t>
  </si>
  <si>
    <t>Kultuur 24</t>
  </si>
  <si>
    <t>Kultuur 25</t>
  </si>
  <si>
    <t>Kultuur 26</t>
  </si>
  <si>
    <t>Kultuur 27</t>
  </si>
  <si>
    <t>Kultuur 28</t>
  </si>
  <si>
    <t>Kultuur 29</t>
  </si>
  <si>
    <t>Kultuur 30</t>
  </si>
  <si>
    <t>Kultuur 31</t>
  </si>
  <si>
    <t>Kultuur 32</t>
  </si>
  <si>
    <t>Kultuur 33</t>
  </si>
  <si>
    <t>Kultuur 34</t>
  </si>
  <si>
    <t>Kultuur 35</t>
  </si>
  <si>
    <t>Kultuur 36</t>
  </si>
  <si>
    <t>Kultuur 37</t>
  </si>
  <si>
    <t>Kultuur 38</t>
  </si>
  <si>
    <t>Kultuur 39</t>
  </si>
  <si>
    <t>Kultuur 40</t>
  </si>
  <si>
    <t>Kultuur 41</t>
  </si>
  <si>
    <t>Helper</t>
  </si>
  <si>
    <t>Põhk / Saak</t>
  </si>
  <si>
    <t>Juured / Põhk</t>
  </si>
  <si>
    <t>Kuivaine osakaal</t>
  </si>
  <si>
    <t>Süsinikusisaldus väetistel</t>
  </si>
  <si>
    <t>Corg (%)</t>
  </si>
  <si>
    <t>huumuskihi tüsedus</t>
  </si>
  <si>
    <t>koresuse aste</t>
  </si>
  <si>
    <t>vastav koresusega arvestav koefitsient 1-r</t>
  </si>
  <si>
    <t>Huumuse %</t>
  </si>
  <si>
    <t>lasuvustihedus</t>
  </si>
  <si>
    <t>Cvaru</t>
  </si>
  <si>
    <t>SAAGIKUSE ALUSEL ANTAVAD</t>
  </si>
  <si>
    <t>r2</t>
  </si>
  <si>
    <t>r3</t>
  </si>
  <si>
    <t>r4</t>
  </si>
  <si>
    <t>Segavili (teravili)</t>
  </si>
  <si>
    <t>r5</t>
  </si>
  <si>
    <t>IFERROR = 0FUNKTSIOON SIIN</t>
  </si>
  <si>
    <t>Segavili (teravili) allakülviga</t>
  </si>
  <si>
    <t>r</t>
  </si>
  <si>
    <t>Suhkrupeet</t>
  </si>
  <si>
    <t xml:space="preserve">Saagikus KA (DM)  t/ha </t>
  </si>
  <si>
    <t>Kuivaine osakaal vastaval põhikultuuril</t>
  </si>
  <si>
    <t>Põhk / Saak suhe vastaval kultuuril</t>
  </si>
  <si>
    <t>Põhu biomass KA (põhk/saak*saak)</t>
  </si>
  <si>
    <t xml:space="preserve">Juured / Põhk suhe vastaval põhikultuuril </t>
  </si>
  <si>
    <t xml:space="preserve">Põhikultuuri maaalune biomass </t>
  </si>
  <si>
    <t>Biomass vahekultuuril (t/ha)</t>
  </si>
  <si>
    <t>Kuivaine oskaaal vastaval vahekultuuril</t>
  </si>
  <si>
    <t>Vahekultuuri maapealne biomass KA (t/ha) (biomass * vahekultuuriga kaetud  maa osakaal)</t>
  </si>
  <si>
    <t>Juured / Põhk suhe vastavalt vahekultuuril</t>
  </si>
  <si>
    <t xml:space="preserve">Vahekultuuri maaalune biomass KA  (maapealne * juured/põhk) </t>
  </si>
  <si>
    <t>Biomass vastaval allakülvi kultuuril</t>
  </si>
  <si>
    <t>Kuivaine osakaal vastaval allakülvi kultuuril</t>
  </si>
  <si>
    <t>Allakülvi maapealne biomass KA</t>
  </si>
  <si>
    <t>Juured / Põhk suhe vastaval allakülvikultuuril</t>
  </si>
  <si>
    <t>Allakülvi maaalune biomass KA (maapealne * juured/põhk)</t>
  </si>
  <si>
    <t>Orgaanilise väetise nr1 süsinik t / ha ( kogus * väetatavate hektarite osakaal * kuivaine sisaldus * süsinikusisaldus kuivaines)</t>
  </si>
  <si>
    <t>Orgaanilise väetise nr2 süsinik t / ha ( kogus * väetatavate hektarite osakaal * kuivaine sisaldus * süsinikusisaldus kuivaines)</t>
  </si>
  <si>
    <t>Orgaanilise väetise nr3 süsinik t / ha ( kogus * väetatavate hektarite osakaal * kuivaine sisaldus * süsinikusisaldus kuivaines)</t>
  </si>
  <si>
    <t>INPUT 1: Põllule jääv maapealne süsinik taimejäänustest (põhk*põllulejäetava põhu osakaal* 0.45 + vahekultuuri maapealne biomass * 0.45 + allakülvi maapealne biomass*0.45) t/ha</t>
  </si>
  <si>
    <t>INPUT 2: Põllulejääv maaalune süsinik taimejäänustest (maaalune biomass*0.45 + vahekultuuri maaalune biomass*0.45 + allakülv maaalune biomass*0.45) t/ha</t>
  </si>
  <si>
    <t>INPUT 3:  Süsinik orgaanilistest väetistest  t/ha</t>
  </si>
  <si>
    <t>Õlilina</t>
  </si>
  <si>
    <t>Kartul</t>
  </si>
  <si>
    <t>Tatar</t>
  </si>
  <si>
    <t>Sojauba</t>
  </si>
  <si>
    <t>Avamaajuurviljad</t>
  </si>
  <si>
    <t>NA</t>
  </si>
  <si>
    <t>BIOMASSI ALUSEL ANTAVAD</t>
  </si>
  <si>
    <t xml:space="preserve">Biomass </t>
  </si>
  <si>
    <t xml:space="preserve">Biomass KA </t>
  </si>
  <si>
    <t>Püsirohumaa</t>
  </si>
  <si>
    <t>Püsirohumaad (uuendamise korral; heinaks)</t>
  </si>
  <si>
    <t>Püsirohumaad (uuendamise korral; haljassööt)</t>
  </si>
  <si>
    <t>ALLAKÜLVIKULTUURID</t>
  </si>
  <si>
    <t>Ristik (allakülviks)</t>
  </si>
  <si>
    <t>VAHEKULTUURID</t>
  </si>
  <si>
    <t>VÄETISED</t>
  </si>
  <si>
    <t>humifikatsiooni konstant h maapealsetele taimeosadele</t>
  </si>
  <si>
    <t>Huumusbilansi kalkulaatoris samad arvud, aga ma võtsin kuskilt mujalt? (rohkem komakohti)</t>
  </si>
  <si>
    <t>humifikatsiooni konstant h maaalustele taimeosadele</t>
  </si>
  <si>
    <t>humifikatsiooni konstant h sõnnikule</t>
  </si>
  <si>
    <t>Korrutan valemis läbi  taimeosade / sõnniku omadega</t>
  </si>
  <si>
    <t>humifikatsiooni kohandus liivale</t>
  </si>
  <si>
    <t>Huumusbilnasi kalkulaatori aruanne</t>
  </si>
  <si>
    <t>humifikatsiooni kohandus saviliivale</t>
  </si>
  <si>
    <t>humifikatsiooni kohandus kergele kuni keskmisele liivsavile</t>
  </si>
  <si>
    <t>humifikatsiooni kohandus liivsavile</t>
  </si>
  <si>
    <t>humifikatsiooni kohandus savile</t>
  </si>
  <si>
    <t>r kohandab k-d. Lõimis on k mõistes arvestatud võrdseks, aga kliima kohandusega korrutan läbi. Võimalik seda veel korrigeerida vastavalt lõimisega</t>
  </si>
  <si>
    <t>r eesti kliima kohandus</t>
  </si>
  <si>
    <t xml:space="preserve">vähendab sidumist võrreldes Rootsiga. Kaueri materjalid ja otsesuhtlus. </t>
  </si>
  <si>
    <t>Kasutan valemites korrutisena</t>
  </si>
  <si>
    <t>r liiv * eesti kliima</t>
  </si>
  <si>
    <t>r saviliiv * eesti kliima</t>
  </si>
  <si>
    <t>r kerge/keskmine liivsavi * eesti kliima</t>
  </si>
  <si>
    <t>r raske liivsavi * eesti kliima</t>
  </si>
  <si>
    <t>r savi * eesti kliima</t>
  </si>
  <si>
    <t>humifikatsiooni kohandus vähendatud kündmisele</t>
  </si>
  <si>
    <t>jah</t>
  </si>
  <si>
    <t xml:space="preserve">Suurendab sidumist. Huumusbilansi kalkulaatori aruanne. </t>
  </si>
  <si>
    <t>lagunemine</t>
  </si>
  <si>
    <t>ky</t>
  </si>
  <si>
    <t>&lt;"New calibration of the ICBM model &amp; analysis of soil organic carbon concentration from Swedish soil monitoring programs" alade keskmine vme</t>
  </si>
  <si>
    <t xml:space="preserve">&lt;Mudeli originaal , kasutatud ka huumusbilansi kalkulaatoris. Neid korrigeerib see r=1.25 eesti kliima järgi </t>
  </si>
  <si>
    <t>ko</t>
  </si>
  <si>
    <t>Liival</t>
  </si>
  <si>
    <t>Saviliival</t>
  </si>
  <si>
    <t>Kerge ja keskmine liivsavi</t>
  </si>
  <si>
    <t>h kohandus (harimine * lõimis)</t>
  </si>
  <si>
    <t>Y0</t>
  </si>
  <si>
    <t>O0</t>
  </si>
  <si>
    <t>Sisend1: maapealne</t>
  </si>
  <si>
    <t>Sisend2: maaalune</t>
  </si>
  <si>
    <t>Sisend3: väetis</t>
  </si>
  <si>
    <t>f1</t>
  </si>
  <si>
    <t>f2</t>
  </si>
  <si>
    <t>f3</t>
  </si>
  <si>
    <t>Yss1  i/(k*r)</t>
  </si>
  <si>
    <t>Yss2</t>
  </si>
  <si>
    <t>Yss3</t>
  </si>
  <si>
    <t>h*i</t>
  </si>
  <si>
    <t>Oss</t>
  </si>
  <si>
    <t>Vana süsiniku (C) varu ajahetkel t  liival</t>
  </si>
  <si>
    <t>Vana süsiniku (C) varu ajahetkel t  saviliival</t>
  </si>
  <si>
    <t>Vana süsiniku (C) varu  ajahetkel t kergel ja keskmisel liivsavil</t>
  </si>
  <si>
    <t>Vana süsiniku (C) varu ajahetkel t raskel liivsavil</t>
  </si>
  <si>
    <t>Vana süsiniku (C) varu  ajahetkel t savil</t>
  </si>
  <si>
    <t xml:space="preserve"> CO2 sidumine t/ ha aastas arvutatud 100 aasta keskmisena</t>
  </si>
  <si>
    <t xml:space="preserve">Arvutuslik (proportsionaalne) antud kultuuri pindala (ha) antud lõimisel </t>
  </si>
  <si>
    <t>Kogu sidumine (t CO2)</t>
  </si>
  <si>
    <t>Kokku hektareid</t>
  </si>
  <si>
    <t>Keskmine CO2 sidumine  hektari kohta</t>
  </si>
  <si>
    <t>liival</t>
  </si>
  <si>
    <t>saviliival</t>
  </si>
  <si>
    <t>kergel ja keskmisel liivsavil</t>
  </si>
  <si>
    <t>raskel liivsavil</t>
  </si>
  <si>
    <t xml:space="preserve">savil </t>
  </si>
  <si>
    <t>Summaarne sidumine kultuuriga (t CO2)</t>
  </si>
  <si>
    <t>Keskmine sidumine kultuuriga (t CO2 / ha )</t>
  </si>
  <si>
    <t>Keskmine kokku</t>
  </si>
  <si>
    <t>CO2 heitmed turvasmuldade majandamisest</t>
  </si>
  <si>
    <t>CO2-C turvasmullad</t>
  </si>
  <si>
    <t>Süsinikuheide turvasmuldade majandamisest, t CO2-C aastas</t>
  </si>
  <si>
    <t>EF t</t>
  </si>
  <si>
    <r>
      <t xml:space="preserve">turvasmuldade süsinikuheitme heitetegur boreaalse/jaheda parasvöötme kliimaklassifikatsiooni </t>
    </r>
    <r>
      <rPr>
        <sz val="11"/>
        <rFont val="Calibri"/>
        <family val="2"/>
      </rPr>
      <t>puhul, t C/ha aastas.</t>
    </r>
  </si>
  <si>
    <t>p</t>
  </si>
  <si>
    <t>põllumajandustootja majandatavate turvasmuldade pindala, ha</t>
  </si>
  <si>
    <t>CO2 turvasmullad = CO2-C turvasmullad * (44/12)</t>
  </si>
  <si>
    <t>Allikas</t>
  </si>
  <si>
    <t>Kommentaar</t>
  </si>
  <si>
    <t>cropland</t>
  </si>
  <si>
    <t>t C/ha/a</t>
  </si>
  <si>
    <t>IPCC 2006 (2019 no refinement); NIR 2023</t>
  </si>
  <si>
    <t>Tier 1; uncertainty 90%; cropland</t>
  </si>
  <si>
    <t>NIR 2021</t>
  </si>
  <si>
    <t>Tier 2; Rootsi andmed; cropland</t>
  </si>
  <si>
    <t>grassland</t>
  </si>
  <si>
    <t>Tier 1; uncertainty 90%; grasslands</t>
  </si>
  <si>
    <t>Tier 2; Rootsi andmed - grassland</t>
  </si>
  <si>
    <t>heitetegur, mida sooviksime kasutada ka tööriistas</t>
  </si>
  <si>
    <t>Mulla otsene N2O</t>
  </si>
  <si>
    <t>N2O-N (otsene) = N2O-N (inputs) + N2O-N (os) + N2O-N (prp)</t>
  </si>
  <si>
    <t xml:space="preserve">N2O-N (otsene) </t>
  </si>
  <si>
    <t>aastane põllu- ja rohumaade majandamisest tulenev otsene N2O heide, kg N2O-N aastas</t>
  </si>
  <si>
    <t>N2O = N2O-N*(44/28) (kg)</t>
  </si>
  <si>
    <t>F on = F am + F sew + F comp + F ooa</t>
  </si>
  <si>
    <t>N2O-N (inputs)</t>
  </si>
  <si>
    <t>aastane põllu- ja rohumaade majandamisega põllule viidavatest/jäetavatest sisenditest tulenev otsene N2O heide, kg N2O-N aastas</t>
  </si>
  <si>
    <t>F am</t>
  </si>
  <si>
    <t>aastas sõnnikuga põllule viidud N, kg N aastas</t>
  </si>
  <si>
    <t>F sew</t>
  </si>
  <si>
    <t>aastas reoveesettega põllule viidud N, kg N aastas</t>
  </si>
  <si>
    <t>F cr</t>
  </si>
  <si>
    <t>aastane seemnekultuuride taimsete jäänustega põllule jäetav N kogus (kg N aastas)</t>
  </si>
  <si>
    <t>aastane orgaaniliste väetistega põllule viidud N kogus (kg N aastas). Siin all on nii sõnnik, kompost, kääritusjääk jne</t>
  </si>
  <si>
    <t>F comp</t>
  </si>
  <si>
    <t>aastas kompostiga põllule viidav N, kg N aastas</t>
  </si>
  <si>
    <t>konkreetse põllukultuuri keskmine saaak aastas (kg KUIVAINES/ha aastas)</t>
  </si>
  <si>
    <t>Crop (culture) = Fresh yield (culture) * DRY</t>
  </si>
  <si>
    <t>aastane põllukultuuride taimesete jäänustega põllule jäetud N kogus (kg N aastas). Nii maapealne kui maa-alune.</t>
  </si>
  <si>
    <t>F ooa</t>
  </si>
  <si>
    <t>aastas muu orgaanilise väetise näol põllule viidav N, kg N aastas</t>
  </si>
  <si>
    <t>konkreetsel vaatlusaastal konkreetse põllukultuuri all olev põllumaa pindala (ha)</t>
  </si>
  <si>
    <t>F gcr</t>
  </si>
  <si>
    <t>aastane haljasväetiste taimesete jäänustega põllule jäetud N kogus (kg N aastas). Nii maapealne kui maa-alune.</t>
  </si>
  <si>
    <t>Konkreetse põllukultuuri põhu-seemnesaagi suhe, kg KA/ha</t>
  </si>
  <si>
    <t>Vaatlusaluse põllukultuuri keskmine saak ha kohta aidakaalus, kg/ha</t>
  </si>
  <si>
    <t>F pgr</t>
  </si>
  <si>
    <t>aastane püsirohumaade uuendamisel taimsete jäänustega põllule jäetud N kogus (kg N aastas). Nii maapealne kui maa-alune.</t>
  </si>
  <si>
    <t>põllukultuuri N sisaldus põhus (kg KA/ha)</t>
  </si>
  <si>
    <t>Kultuuri kuivainesisalduse osakaal (KA/100). Kui täpsem info puudub, siis vaikimisi allokatsioonifaktorid</t>
  </si>
  <si>
    <t>F som</t>
  </si>
  <si>
    <t>maakasutuse muutustest tuleneva mullaorgaanika mineraliseerumisel tekkiv N heide, kg N aastas</t>
  </si>
  <si>
    <t>NB!!!! Jätta välja!!</t>
  </si>
  <si>
    <t>seemnesaagi ja põhuga põllult eemaldatav N osakaal kultuuri kohta, kg N/ha</t>
  </si>
  <si>
    <t>EF 1</t>
  </si>
  <si>
    <t>põllule jäetavast N sisendist tuleva otsese N2O heite emissioonifaktor</t>
  </si>
  <si>
    <t>Konkreetse põllukultuuri juure:seemnesaagi suhe, kg KA/ha</t>
  </si>
  <si>
    <t>põllukultuuri N sisaldus juurtes (kg KA/ha)</t>
  </si>
  <si>
    <t>aastane kuivendatud turvasmuldade majandamisest tulenev otsene N2O heide, kg N2O-N aastas</t>
  </si>
  <si>
    <t>aastane haljaskultuuride taimsete jäänustega põllule jäetav N kogus (kg N aastas)</t>
  </si>
  <si>
    <t>konkreetse kultuuri keskmine haljasmassi saak aastas (kg KUIVAINES/ha aastas)</t>
  </si>
  <si>
    <t>konkreetsel vaatlusaastal haljaskultuuri all olev põllumaa pindala (ha)</t>
  </si>
  <si>
    <t>haljaskultuuri N sisaldus maapealses biomassis (kg KA/ha)</t>
  </si>
  <si>
    <t>aastane karjatamisega rohumaale jäetud N loomade uriinist ja väljaheidest (kg N aastas)</t>
  </si>
  <si>
    <t>maapealse biomassiga põllult eemaldatav N osakaal kultuuri kohta, kg N/ha</t>
  </si>
  <si>
    <t>RS (culture)</t>
  </si>
  <si>
    <t>Konkreetse haljaskultuuri juure-maapealse biomassi suhe, kg KA/ha</t>
  </si>
  <si>
    <t>haljaskultuuri N sisaldus juurtes (kg KA/ha)</t>
  </si>
  <si>
    <t>IPCC 2006</t>
  </si>
  <si>
    <t xml:space="preserve">Mõõtemääramatus 0,003-0,03; NB! See EF on kogu põllule jäetud N kohta, N lendumist NOx ja NH3 kujul pole korrigeeritud. </t>
  </si>
  <si>
    <t>NIRis kasutatud seda</t>
  </si>
  <si>
    <t>Parasvöötme ja boreaalse piirkonna mullad; Mõõtemääramatus 2-24</t>
  </si>
  <si>
    <t>Parasvöötme ja boreaalse piirkonna mullad; Mõõtemääramatus 2-25</t>
  </si>
  <si>
    <t>EF 3 prp, cpp</t>
  </si>
  <si>
    <t>Mõõtemääramatus 0,007-0,06</t>
  </si>
  <si>
    <t>aastane uuendamisega püsirohumaade taimsete jäänustega põllule jäetav N kogus (kg N aastas)</t>
  </si>
  <si>
    <t xml:space="preserve">EF 3 prp, so </t>
  </si>
  <si>
    <t>Mõõtemääramatus 0,003-0,03</t>
  </si>
  <si>
    <t>konkreetse uuendamisega püsirohumaa keskmine saak aastas (kg KUIVAINES/ha aastas)</t>
  </si>
  <si>
    <t>Crop (pgr) = Fresh yield (pgr) * DRY</t>
  </si>
  <si>
    <t>veised, siga ja linnud</t>
  </si>
  <si>
    <t>IPCC 2019</t>
  </si>
  <si>
    <t>Mõõtemääramatus 0,000-0,014</t>
  </si>
  <si>
    <t>Vaatlusaluse uuendamisega püsirohumaa keskmine kuivainesaak ha kohta, kg/ha</t>
  </si>
  <si>
    <t>lambad ja teised loomad</t>
  </si>
  <si>
    <t>Mõõtemääramatus 0,000-0,010</t>
  </si>
  <si>
    <t>püsirohumaa kultuuride N sisaldus maapealses biomassis (kg KA/ha)</t>
  </si>
  <si>
    <t>Vaatlusaluse uuendamisega püsirohumaa kultuuri keskmine saak ha kohta aidakaalus, kg/ha</t>
  </si>
  <si>
    <t>maapealse biomassiga põllult eemaldatav N osakaal uuendamisega püsirohumaal, kg N/ha</t>
  </si>
  <si>
    <t>Konkreetse uuendamisega püsirohumaa kultuuri juure-maapealse biomassi suhe, kg KA/ha</t>
  </si>
  <si>
    <t>Uuendamisega püsirohumaa kultuuri N sisaldus juurtes (kg KA/ha)</t>
  </si>
  <si>
    <t>osakaal sünteetiliste väetistega põllule viidavast N-st, mis lendub NH3 või NOx-na (kg N, mis lendub/kg N põllule viidud mv)</t>
  </si>
  <si>
    <t>aastane orgaanilistest väetistest ja karjatamisega põllule/rohumaadele jäetud uriini ja väljaheidetest NH3 või NOx-na lenduv N (kg N, mis lendub/kg N põllule ja rohumaale viidud ov)</t>
  </si>
  <si>
    <t>heitetegur lendunud ja atmosfäärist muldadele ja veekogudesse ladestunud N-st tulenevate N2O heidete leidmiseks (kg N2O-N (kg NH3-N + kg NOx-N lendunud)</t>
  </si>
  <si>
    <t>aastane N2O-N kogus, mis tuleneb N sisendi leostumisest ja väljauhtumisest (kg N2O-N aastas)</t>
  </si>
  <si>
    <t>NB!!! Jätta välja see!</t>
  </si>
  <si>
    <t>osakaal põllule viidavast/jäetavast N-st, mis leostub või uhutakse välja (kg N/kg N põllule viidav või jäetav sisend)</t>
  </si>
  <si>
    <t>heitetegur leostunud ja mullast välja uhutud N sisendist tulenevate N2O heidete leidmiseks (kg N2O-N (kg N mis leotusnud või välja uhutud)</t>
  </si>
  <si>
    <t>IPCC 2006; IPCC 2019</t>
  </si>
  <si>
    <t>Mõõtemääramatus 0,002-0,05</t>
  </si>
  <si>
    <t>Mõõtemääramatus 0,0005-0,025</t>
  </si>
  <si>
    <t>Mõõtemääramatus 0,000-0,02</t>
  </si>
  <si>
    <t>Mõõtemääramatus 0,03-0,3</t>
  </si>
  <si>
    <t>Mõõtemääramatus 0,02-0,33</t>
  </si>
  <si>
    <t>kg N, mis lendub/kg N põllule ja rohumaale viidud ov</t>
  </si>
  <si>
    <t>Mõõtemääramatus 0,05-0,5</t>
  </si>
  <si>
    <t>Mõõtemääramatus 0,00-0,31</t>
  </si>
  <si>
    <t>Mõõtemääramatus 0,1-0,8</t>
  </si>
  <si>
    <t>Mõõtemääramatus 0,01-0,73</t>
  </si>
  <si>
    <t xml:space="preserve">CO2-C liming </t>
  </si>
  <si>
    <t>aastased süsinikuemissioonid lupjamisest (t C aastas)</t>
  </si>
  <si>
    <t>EF limestone</t>
  </si>
  <si>
    <t>lubjakivi heitetegur (t C/t lubjakivi)</t>
  </si>
  <si>
    <t>EF dolomite</t>
  </si>
  <si>
    <t>dolomiidi heitetegur (t C/t dolomiit)</t>
  </si>
  <si>
    <t>t C/t lubjakivi</t>
  </si>
  <si>
    <t>Mõõtemääramatus -50%</t>
  </si>
  <si>
    <t>NIRis kasutatakse seda</t>
  </si>
  <si>
    <t>t C/t dolomiit</t>
  </si>
  <si>
    <t>CO2 liming = CO2-C liming * (44/12)</t>
  </si>
  <si>
    <t>CO2 liming</t>
  </si>
  <si>
    <t>aastased CO2-emissioonid lupjamisest (t CO2 aastas)</t>
  </si>
  <si>
    <t>CO2-C urea</t>
  </si>
  <si>
    <t>süsinikuemissioonid lisatud uureast (CO(NH2)2) aastas (t C aastas)</t>
  </si>
  <si>
    <t>kasutatud uurea kogus aastas (t uureat aastas)</t>
  </si>
  <si>
    <t>EF urea</t>
  </si>
  <si>
    <t>uurea eriheitetegur (t C/t uurea)</t>
  </si>
  <si>
    <t>t C/t uurea</t>
  </si>
  <si>
    <t>CO2 urea = CO2-C urea * (44/12)</t>
  </si>
  <si>
    <t>aastased CO2 emissioonid uurea kasutamisest (t CO2 aastas)</t>
  </si>
  <si>
    <t>Turvamusllad</t>
  </si>
  <si>
    <t>cropland1</t>
  </si>
  <si>
    <t>Otsesed N2O emissioonid</t>
  </si>
  <si>
    <t>Kaudsed</t>
  </si>
  <si>
    <t>Uurea</t>
  </si>
  <si>
    <t>KA sisaldus</t>
  </si>
  <si>
    <t>Põhk/saak</t>
  </si>
  <si>
    <t>N põhk</t>
  </si>
  <si>
    <t>Juur/põhk</t>
  </si>
  <si>
    <t>N juur</t>
  </si>
  <si>
    <t>Rootsi KHG inventuuraruanne</t>
  </si>
  <si>
    <t>kogutakse seemnesaaki</t>
  </si>
  <si>
    <t>kogutakse maa-alust osa</t>
  </si>
  <si>
    <t>enamasti kogutakse haljasmassi</t>
  </si>
  <si>
    <t>karjamaa/püsirohumaa</t>
  </si>
  <si>
    <t>Leedu KHG inventuuraruanne</t>
  </si>
  <si>
    <t>NB! Alles jätta!</t>
  </si>
  <si>
    <t>LAMBAD</t>
  </si>
  <si>
    <t>Soolesisene käärimine</t>
  </si>
  <si>
    <t>Loomakategooria</t>
  </si>
  <si>
    <t>Tootlikkustase</t>
  </si>
  <si>
    <t>Metaani heide soolesisesest käärimisest (EF (T), kg CH4 aastas)</t>
  </si>
  <si>
    <t>Eluskaal (kg)</t>
  </si>
  <si>
    <t>Mõõtemääramatus</t>
  </si>
  <si>
    <t>Arenenud maad</t>
  </si>
  <si>
    <t>30-50%</t>
  </si>
  <si>
    <t>Arengumaad</t>
  </si>
  <si>
    <t>Keskmine loomade arv aastas, eristatuna loomakategooriat</t>
  </si>
  <si>
    <t>Metaan sõnnikukäitlusest</t>
  </si>
  <si>
    <t>Metaaniheited sõnnikukäitlusest, EF (sõnnik), kg CH4 looma kohta aastas</t>
  </si>
  <si>
    <t>Temperatuur</t>
  </si>
  <si>
    <r>
      <t>Jahe (&lt;15</t>
    </r>
    <r>
      <rPr>
        <b/>
        <sz val="11"/>
        <color theme="1"/>
        <rFont val="Calibri"/>
        <family val="2"/>
      </rPr>
      <t>˚C)</t>
    </r>
  </si>
  <si>
    <r>
      <t>Mõõdukas (15-25</t>
    </r>
    <r>
      <rPr>
        <b/>
        <sz val="11"/>
        <color theme="1"/>
        <rFont val="Calibri"/>
        <family val="2"/>
      </rPr>
      <t>˚C)</t>
    </r>
  </si>
  <si>
    <r>
      <t>Soe (&gt;25</t>
    </r>
    <r>
      <rPr>
        <b/>
        <sz val="11"/>
        <color theme="1"/>
        <rFont val="Calibri"/>
        <family val="2"/>
      </rPr>
      <t>˚C)</t>
    </r>
  </si>
  <si>
    <t>N rate (T) vaikeväärtused</t>
  </si>
  <si>
    <t>Piirkond</t>
  </si>
  <si>
    <t>Lääne-Euroopa</t>
  </si>
  <si>
    <t>Ida-Euroopa</t>
  </si>
  <si>
    <t>+/-50%</t>
  </si>
  <si>
    <t xml:space="preserve">IPCC vaikeväärtused sõnnikukäitluse otseste N2O heitmete leidmiseks (EF 3), kg N2O-N/kg N </t>
  </si>
  <si>
    <t>Sõnnikukäitlussüsteem</t>
  </si>
  <si>
    <t>EF 3</t>
  </si>
  <si>
    <t>Karjamaa, koppel</t>
  </si>
  <si>
    <t>käsitletakse Taimekasvatuse mõjuala 1 all, karjatamine</t>
  </si>
  <si>
    <t>Igapäevane laotus</t>
  </si>
  <si>
    <t>käistletakse Taimekasvatuse mõjuala 1 all, orgaanilised väetised</t>
  </si>
  <si>
    <t>Sõnnikuaun, pikaajaline</t>
  </si>
  <si>
    <t>Vedelsõnnikuhoidla loomuliku koorikuta</t>
  </si>
  <si>
    <t>Katmata anaeroobne laguun</t>
  </si>
  <si>
    <t>Sügavallapanu (segamisega)</t>
  </si>
  <si>
    <t>T</t>
  </si>
  <si>
    <t>loomakategooria</t>
  </si>
  <si>
    <t>Sügavallapanu (segamiseta)</t>
  </si>
  <si>
    <t>Anaeroobne kääriti</t>
  </si>
  <si>
    <t>44/28</t>
  </si>
  <si>
    <t>teisendustegur N2O heitmete leidmiseks: N2O-N -&gt; N2O</t>
  </si>
  <si>
    <t>Kompostimine reaktoris või staatilises aunas, aktiivse õhutamisega</t>
  </si>
  <si>
    <t>Kompostimine passiivse õhutamisega</t>
  </si>
  <si>
    <t>Aeroobne käitlussüsteem (loomulik õhutus)</t>
  </si>
  <si>
    <t>Aeroobne käitlussüsteem (kunstlik õhutus)</t>
  </si>
  <si>
    <t>N volatilization-MMS = N (T) * Nex (T) * MS (T, S) * (Frac gasMS) (T,S)/100</t>
  </si>
  <si>
    <t>IPCC vaikeväärtused lämmastiku osakaalust vaatlusaluse loomakategooria ja sõnnikukäitlusviisi puhul, mis lendub NH3 või NOx-na</t>
  </si>
  <si>
    <t>Sõnnikuaun (pikaajaline)</t>
  </si>
  <si>
    <t>Sügavallapanu</t>
  </si>
  <si>
    <t>See tuleb taimekasvatusest</t>
  </si>
  <si>
    <t>Part, kalkun</t>
  </si>
  <si>
    <t>Tüüpilised karakteristikud loomade kohta</t>
  </si>
  <si>
    <t>Tüüpiline looma eluskaal (kg)</t>
  </si>
  <si>
    <t>Bo (m3 CH4/kg VS)</t>
  </si>
  <si>
    <t>VS (kg looma kohta päevas)</t>
  </si>
  <si>
    <t>CH4 = VS * Bo * MCF * 0,662</t>
  </si>
  <si>
    <t>Metaani teisendustegur, MCF; IPCC 2006 (ehkki enamus kattub ka IPCC 2019)</t>
  </si>
  <si>
    <r>
      <t>Temperatuur (</t>
    </r>
    <r>
      <rPr>
        <b/>
        <sz val="11"/>
        <color theme="1"/>
        <rFont val="Calibri"/>
        <family val="2"/>
      </rPr>
      <t>˚C)</t>
    </r>
  </si>
  <si>
    <t>päevane orgaanilise aine väljutamine sõnnikus, kg aastas</t>
  </si>
  <si>
    <t>&lt;10</t>
  </si>
  <si>
    <t>&gt;28</t>
  </si>
  <si>
    <t>Bo</t>
  </si>
  <si>
    <t>loomakategooriati erinev maksimaalne võimalik metaani eraldumine sõnnikukäitlusest, m3 CH4 kg VS kohta. Vaikeväärtus 0,36.</t>
  </si>
  <si>
    <t>Linnukasvatus, sügavallapanuga</t>
  </si>
  <si>
    <t>MCF</t>
  </si>
  <si>
    <t>metaani teisendustegur, mis on vastav sõnnikukäitlussüsteemile ja erineb loomakategooriati</t>
  </si>
  <si>
    <t>Linnukasvatus, sügavallapanuta</t>
  </si>
  <si>
    <t>metaani tihedus (kg/m3)</t>
  </si>
  <si>
    <t xml:space="preserve">IPCC (2019) vaikeväärtused sõnnikukäitluse otseste N2O heitmete leidmiseks (EF 3), kg N2O-N/kg N </t>
  </si>
  <si>
    <t>0,0005-0,002</t>
  </si>
  <si>
    <t>Sügavallapanuta</t>
  </si>
  <si>
    <t>IPCC vaikeväärtused lämmastiku osakaalust vaatlusaluse loomakategooria ja sõnnikukäitlusviisi puhul, mis lendub NH3 või NOx-na, %</t>
  </si>
  <si>
    <t>Linnukasvatus</t>
  </si>
  <si>
    <t>15-60</t>
  </si>
  <si>
    <t>10-60</t>
  </si>
  <si>
    <t>kaudsed N2O emissioonid sõnnikukäitlusest, mis tulenevad N leostumisest või väljauhtumisest</t>
  </si>
  <si>
    <t>N leaching-MMS = N (T) * Nex (T) * MS (T, S) * (Frac leachMS) (T,S)</t>
  </si>
  <si>
    <t>NB!!!! Selle bloki saab vist kõrvale jätta</t>
  </si>
  <si>
    <t>N leaching-MMS</t>
  </si>
  <si>
    <t>sõnnikus sisalduv N, mis leostub või uhutakse välja, kg N aastas</t>
  </si>
  <si>
    <t>Frac leachMS</t>
  </si>
  <si>
    <t>osakaal lämmastikust vaatlusaluse loomakategooria ja sõnnikukäitlusviisi puhul, mis leostub või uhutakse välja; vaikeväärtus 0,24 (IPCC 2019)</t>
  </si>
  <si>
    <t>N2O l mm = N leaching-MMS * EF5 * (44/28)</t>
  </si>
  <si>
    <t>kaudsed N2O heitmed N leostumisest või väljauhtumisest, kg N2O aastas</t>
  </si>
  <si>
    <t>EF5</t>
  </si>
  <si>
    <t>heitetegur N2O heitmete leidmiseks, mis tuleneb N leostumisest või väljauhtumisest , kg N2O-N/(kg leostunud N)</t>
  </si>
  <si>
    <t>ATMOSFÄÄRI ÕHUKAITSE MÄÄRUS</t>
  </si>
  <si>
    <t>1. Väljaheites sisalduv lämmastik</t>
  </si>
  <si>
    <t>Lämmastiku keskmine sisaldus looma kehamassi juurdekasvus ning lootes</t>
  </si>
  <si>
    <t>Lämmastiku sisaldus juurdekasvus, mN juurdekasv, g/kg</t>
  </si>
  <si>
    <t>Lämmastiku sisaldus lootes, mN loode, g/kg</t>
  </si>
  <si>
    <t>Piima- või ammlehmad</t>
  </si>
  <si>
    <t>Vasikad</t>
  </si>
  <si>
    <t>aastaloom või -lind, tk</t>
  </si>
  <si>
    <t>Mullikad</t>
  </si>
  <si>
    <t>väljaheites sisalduva lämmastiku eriheide, kg/aastaloom või -lind</t>
  </si>
  <si>
    <t>Emised</t>
  </si>
  <si>
    <t>Lämmastikusisaldus väljaheites vanuse- ja toodangurühmade kaupa aastalooma või aastalinnu kohta.</t>
  </si>
  <si>
    <t>Looma- ja linnuliik või vanusegrupp (piimatoodang aastas)</t>
  </si>
  <si>
    <t>Väljaheites sisalduva lämmastiku eriheide qN, kg/aastaloom või aastalind</t>
  </si>
  <si>
    <t>piimas sisalduv lämmastiku mass, kg</t>
  </si>
  <si>
    <t>lämmastikusisaldus piimas, g/kg</t>
  </si>
  <si>
    <t>toodetud piima mass, kg</t>
  </si>
  <si>
    <t>Ammlehmad, muud veised</t>
  </si>
  <si>
    <t>Imetavad, vabad ja tiined emised</t>
  </si>
  <si>
    <t>Nooremised alates võõrutamisest kuni tiinuseni</t>
  </si>
  <si>
    <t>vasikate mass, kg</t>
  </si>
  <si>
    <t>kanamunade mass, kg</t>
  </si>
  <si>
    <t>lämmastiku ladestumine munadesse, kg/kg</t>
  </si>
  <si>
    <t>broileri kehamass realiseerimisel, noorlinnu kehamass üleminekul tootmisgruppi, munakanadel juurdekasv aastas, kg</t>
  </si>
  <si>
    <t>lämmastiku ladestumine juurdekasvu, kg/kg</t>
  </si>
  <si>
    <t>Lämmastiku lendumine ammoniaagina veisekasvatushoonest eri pidamisviiside ja vanuserühmade kaupa</t>
  </si>
  <si>
    <t>Lämmastiku lendumine ammoniaagina loomakasvatushoonest sigade eri pidamisviiside ja vanuserühmade kaupa</t>
  </si>
  <si>
    <t>Lämmastiku lendumine ammoniaagina lindlast eri pidamisviiside ning toodangu- ja vanuserühmade kaupa</t>
  </si>
  <si>
    <t>Pidamisviis, sõnniku eemaldamise süsteem</t>
  </si>
  <si>
    <t>Lendumine klaut, %</t>
  </si>
  <si>
    <t>Toodangu- või vanuserühm</t>
  </si>
  <si>
    <t>Vanuse- või toodangurühm</t>
  </si>
  <si>
    <t>Piima- või ammlehmad, lehm- või pullmullikad, muud veised</t>
  </si>
  <si>
    <t>Lõaspidamine, sõnnikueemaldus mobiilse vahendiga 2–3 korda päevas, rohke allapanu (avatud süsteem)</t>
  </si>
  <si>
    <t>Rühmasulud, täisrestpõrand, sõnnikukelder, allapanuta</t>
  </si>
  <si>
    <t>Puurispidamine, ventileeritava avatud sõnnikukeldriga (sõnnikukanalitega) lindla</t>
  </si>
  <si>
    <t>Lõaspidamine, kraapkonveierid, sõnnikueemaldus &gt;3 korda päevas, rohke allapanu (avatud süsteem)</t>
  </si>
  <si>
    <t>Rühmasulud, osaline restpõrand (betoonrestid), kumer lamamisala, sõnnikurennid või -kanalid, sõnniku väljauhtmine</t>
  </si>
  <si>
    <t>Lõaspidamine, skreeperseadmed, sõnnikueemaldus 2–3 korda päevas, rohke allapanu (suletud süsteem)</t>
  </si>
  <si>
    <t>Rühmasulud, osaline restpõrand, kaldseintega sõnnikukanal</t>
  </si>
  <si>
    <t>Puurispidamine, sõnniku eemaldamine transportöörlintidega kinnisesse hoidlasse (kuivatamiseta) vähemalt 2 korda nädalas</t>
  </si>
  <si>
    <t>Lõaspidamine, skreeperseadmed, sõnnikueemaldus &gt;3 korda päevas, rohke allapanu (suletud süsteem)</t>
  </si>
  <si>
    <t>Rühmasulud, osaline restpõrand, sõnniku pinnakihi jahutamine</t>
  </si>
  <si>
    <t>Puurispidamine, sõnniku eemaldamine transportöörlintidega kinnisesse hoidlasse (kuivatamiseta) vähemalt 2 korda päevas</t>
  </si>
  <si>
    <t>Vabapidamine, sõnnikueemaldus mobiilse vahendiga 2–3 korda päevas, vähene allapanu</t>
  </si>
  <si>
    <t>Rühmasulud, monoliitpõrand, sügavallapanu</t>
  </si>
  <si>
    <t>Puurispidamine, sõnniku eemaldamine transportöörlintidega kinnisesse hoidlasse (kuivatamisega), kuivatamine õhujoaga</t>
  </si>
  <si>
    <t>Vabapidamine, skreeperseadmed, sõnnikueemaldus &gt;3 korda päevas, vähene allapanu</t>
  </si>
  <si>
    <t>Rühmasulud, täisrestpõrand (betoonrestid), vaakumsüsteem, allapanuta</t>
  </si>
  <si>
    <t>Puurispidamine, sõnniku eemaldamine transportöörlintidega kinnisesse hoidlasse (kuivatamisega), kuivatamine tunnelis</t>
  </si>
  <si>
    <t>Rühmasulud, osaline restpõrand (betoonrestid), vaakumsüsteem, allapanuta</t>
  </si>
  <si>
    <t>Vabapidamine, sügavallapanu</t>
  </si>
  <si>
    <t>Rühmasulud, osaline restpõrand (metall- või plastrestid), vaakumsüsteem, allapanuta</t>
  </si>
  <si>
    <t>Põrandalpidamine, sügavallapanu, sõnniku kuivatamisega</t>
  </si>
  <si>
    <t>Rühmasulud, osaline restpõrand (metall- või plastrestid), isevoolne sõnnikueemaldus, allapanuta</t>
  </si>
  <si>
    <t>Põrandalpidamine, sügavallapanu, perforeeritud põrand, sõnniku kuivatamine</t>
  </si>
  <si>
    <t>Vabapidamine, vähene allapanu</t>
  </si>
  <si>
    <t>Mitmel tasapinnal pidamine, transportöörlintide süsteem, allapanuga alal sügavallapanu</t>
  </si>
  <si>
    <t>Rühmasulud,osaline restpõrand (betoonrestid), vaakumsüsteem, sõnniku põhjakihi jahutamine</t>
  </si>
  <si>
    <t>Rühmasulud, osaline restpõrand, skreeper, vähene allapanu</t>
  </si>
  <si>
    <t>loomakasvatushoonest või lindlast väljutatava ammoniaagi heitkogus, kg/aastas</t>
  </si>
  <si>
    <t>Metaani eriheited laudast ehk heitkogus sea ja veise organismist</t>
  </si>
  <si>
    <t>Rühmasulud, kaldpinnalt valguv sõnnikukogumise süsteem, allapanuta</t>
  </si>
  <si>
    <t xml:space="preserve">lämmastiku lendumine ammoniaagina, %. </t>
  </si>
  <si>
    <t>klaut veis</t>
  </si>
  <si>
    <t>Rühm</t>
  </si>
  <si>
    <t>Metaani eriheide qCH4 laut, kg/aastaloom</t>
  </si>
  <si>
    <t>Puurispidamine, sõnniku eemaldamine skreeperseadmega kinnisesse hoidlasse.</t>
  </si>
  <si>
    <t>klaut siga</t>
  </si>
  <si>
    <t>Piimalehmad</t>
  </si>
  <si>
    <t>klaut linnud</t>
  </si>
  <si>
    <t>Rühmasulud, osaline restpõrand (metall- või plastrestid), isevoolne sõnnikueemaldus, allapanuta, kakskliima</t>
  </si>
  <si>
    <t>Rühmasulud, osaline restpõrand (metall- või plastrestid), vaakumsüsteem, allapanuta, kakskliima</t>
  </si>
  <si>
    <t>  loomakasvatushoonest väljutatava metaani heitkogus, kg/aastas</t>
  </si>
  <si>
    <t>Rühmasulud, osaline restpõrand (metallrestid), vaakumsüsteem, sõnniku põhjakihi jahutamine, allapanuta, kakskliima</t>
  </si>
  <si>
    <t>Individuaal- või rühmasulud, restpõrand, sõnnikukelder, allapanuta</t>
  </si>
  <si>
    <t>Individuaalsulud, osaline restpõrand (metall- või plastrestid), vaakumsüsteem, allapanuta</t>
  </si>
  <si>
    <t>Individuaalsulud, osaline restpõrand (metall või plastrestid), vaakumsüsteem, sõnniku põhjakihi jahutamine, allapanuta</t>
  </si>
  <si>
    <t>Lämmastiku lendumine ammoniaagina eri tüüpi sõnnikuhoidlatest</t>
  </si>
  <si>
    <t>Individuaalsulud, kaldpinnalt valguva sõnniku kogumise süsteem, allapanuta</t>
  </si>
  <si>
    <t>Hoidla ja sõnniku tüüp</t>
  </si>
  <si>
    <t>Lendumine ksõnnikuhoidla, %</t>
  </si>
  <si>
    <t>Sõnnikuaun, loomulik koorik</t>
  </si>
  <si>
    <t>Individuaalsulud, restpõrand, sõnniku pinnakihi jahutamine</t>
  </si>
  <si>
    <t>Individuaalsulud, osaline restpõrand, skreeper, vähene allapanu</t>
  </si>
  <si>
    <t>Rühmasulud, restpõrand, vaakumsüsteem, allapanuta</t>
  </si>
  <si>
    <t>Tahesõnnikuhoidla, varikatus</t>
  </si>
  <si>
    <t>Rühmasulud, osaline restpõrand (betoonrestid), vaakumsüsteem, sõnniku põhjakihi jahutamine, allapanuta</t>
  </si>
  <si>
    <t>sõnnikuhoidlast väljutatava ammoniaagi heitkogus, kg/aastas</t>
  </si>
  <si>
    <t>Vedelsõnnikuhoidla, laguun, loomulik koorik</t>
  </si>
  <si>
    <t>Vedelsõnnikuhoidla, ringja põhiplaaniga, loomulik koorik</t>
  </si>
  <si>
    <t>Rühmasulud, täisrestpõrand, sõnnikurennid või -kanalid, sõnniku väljauhtmine</t>
  </si>
  <si>
    <t>Vedelsõnnikuhoidla, jäik betoon- või telkkatus</t>
  </si>
  <si>
    <t>Rühmasulud, osaline restpõrand (betoonrestid), kogumiskanalid, allapanuta</t>
  </si>
  <si>
    <t> ammoniaagilt lämmastikule ülemineku tegur</t>
  </si>
  <si>
    <t>Metaani eriheited sõnnikuhoidlast</t>
  </si>
  <si>
    <t>lämmastiku lendumine ammoniaagina, %</t>
  </si>
  <si>
    <t>Looma liik</t>
  </si>
  <si>
    <t>Metaani eriheide qCH4 sõnnikuhoidla, kg/aastaloom/aastalind</t>
  </si>
  <si>
    <t>sõnnikuhoidlast väljutatava metaani heitkogus, kg/aastas</t>
  </si>
  <si>
    <t>Linnud</t>
  </si>
  <si>
    <t>Lämmastiku lendumine dilämmastikoksiidina sõnnikuhoidlast</t>
  </si>
  <si>
    <t>Sõnniku liik</t>
  </si>
  <si>
    <t>Sügavallapanusõnnik</t>
  </si>
  <si>
    <t>sõnnikuhoidlast väljutatava dilämmastikoksiidi heitkogus, kg/aastas</t>
  </si>
  <si>
    <t>Linnusõnnik (tahe- ja sügavallapanu sõnnik)</t>
  </si>
  <si>
    <t>lämmastiku lendumine dilämmastikoksiidina, %</t>
  </si>
  <si>
    <t>5. Loomakasvatushoone kaudne N2O</t>
  </si>
  <si>
    <t>14/17</t>
  </si>
  <si>
    <t>teisendustegur saamaks NH3-N</t>
  </si>
  <si>
    <t>N2O heitetegur ammoniaagi lendumisel (IPCC 2019)</t>
  </si>
  <si>
    <t>teisendustegur saamaks N2O-N-st N2O</t>
  </si>
  <si>
    <t>5. Sõnnikuhoidla kaudne N2O</t>
  </si>
  <si>
    <t/>
  </si>
  <si>
    <t>Mais, siloks</t>
  </si>
  <si>
    <t>Mais, söödaks</t>
  </si>
  <si>
    <t>Muud kaunviljad, söödaks</t>
  </si>
  <si>
    <t>Muud teraviljad</t>
  </si>
  <si>
    <t>Muud õlitaimed</t>
  </si>
  <si>
    <t>Oder</t>
  </si>
  <si>
    <t>Põlduba, siloks</t>
  </si>
  <si>
    <t>Põlduba, söödaks</t>
  </si>
  <si>
    <t>Raps</t>
  </si>
  <si>
    <t>Uba</t>
  </si>
  <si>
    <t>Vikk ja muud liblikõielised</t>
  </si>
  <si>
    <t>Austraalia</t>
  </si>
  <si>
    <t>Austria</t>
  </si>
  <si>
    <t>Bosnia ja Hertsegoviina</t>
  </si>
  <si>
    <t>Costa Rica</t>
  </si>
  <si>
    <t>Ecuador</t>
  </si>
  <si>
    <t>Egiptus</t>
  </si>
  <si>
    <t>Gruusia</t>
  </si>
  <si>
    <t>Hispaania</t>
  </si>
  <si>
    <t>Holland</t>
  </si>
  <si>
    <t>Horvaatia</t>
  </si>
  <si>
    <t>Iirimaa</t>
  </si>
  <si>
    <t>Jaapan</t>
  </si>
  <si>
    <t>Kanada</t>
  </si>
  <si>
    <t>Kasahstan</t>
  </si>
  <si>
    <t>Kreeka</t>
  </si>
  <si>
    <t>Kõrgõzstan</t>
  </si>
  <si>
    <t>Küpros</t>
  </si>
  <si>
    <t>Leedu</t>
  </si>
  <si>
    <t>Luksemburg</t>
  </si>
  <si>
    <t>Lõuna-Korea</t>
  </si>
  <si>
    <t>Läti</t>
  </si>
  <si>
    <t>Malta</t>
  </si>
  <si>
    <t>Maroko</t>
  </si>
  <si>
    <t>Mehhiko</t>
  </si>
  <si>
    <t>Moldova</t>
  </si>
  <si>
    <t>Mongoolia</t>
  </si>
  <si>
    <t>Norra</t>
  </si>
  <si>
    <t>Pakistan</t>
  </si>
  <si>
    <t>Paraguay</t>
  </si>
  <si>
    <t>Peruu</t>
  </si>
  <si>
    <t>Poola</t>
  </si>
  <si>
    <t>Portugal</t>
  </si>
  <si>
    <t>Prantsusmaa</t>
  </si>
  <si>
    <t>Põhja-Makedoonia</t>
  </si>
  <si>
    <t>Rootsi</t>
  </si>
  <si>
    <t>Rumeenia</t>
  </si>
  <si>
    <t>Saksamaa</t>
  </si>
  <si>
    <t>Saudi Araabia</t>
  </si>
  <si>
    <t>Slovakkia</t>
  </si>
  <si>
    <t>Sloveenia</t>
  </si>
  <si>
    <t>Soome</t>
  </si>
  <si>
    <t>Suurbritannia</t>
  </si>
  <si>
    <t>Šveits</t>
  </si>
  <si>
    <t>Taani</t>
  </si>
  <si>
    <t>Tadžikistan</t>
  </si>
  <si>
    <t>Tšiili</t>
  </si>
  <si>
    <t>Tuneesia</t>
  </si>
  <si>
    <t>Türgi</t>
  </si>
  <si>
    <t>Ukraina</t>
  </si>
  <si>
    <t>Ungari</t>
  </si>
  <si>
    <t>Uruguay</t>
  </si>
  <si>
    <t>USA</t>
  </si>
  <si>
    <t>Valgevene</t>
  </si>
  <si>
    <t>Venemaa</t>
  </si>
  <si>
    <t>Venezuela</t>
  </si>
  <si>
    <t>Viide</t>
  </si>
  <si>
    <t>Aminohape</t>
  </si>
  <si>
    <t>Arginiin</t>
  </si>
  <si>
    <t>kg CO2-ekv/kg</t>
  </si>
  <si>
    <t>Eco-Alim v8</t>
  </si>
  <si>
    <t>Eco-Alim v1</t>
  </si>
  <si>
    <t>Loomne valk, siga</t>
  </si>
  <si>
    <t>Mineraalid</t>
  </si>
  <si>
    <t>Naatriumvesinikkarbonaat</t>
  </si>
  <si>
    <t>Kaltsiumkarbonaat (&gt;63µm)</t>
  </si>
  <si>
    <t>Magneesiumoksiid</t>
  </si>
  <si>
    <t>Dikaltsiumfosfaat</t>
  </si>
  <si>
    <t>Monokaltsiumfosfaat</t>
  </si>
  <si>
    <t>Naatriumkloriid</t>
  </si>
  <si>
    <t>Vasksulfaat</t>
  </si>
  <si>
    <t>Tsinkoksiid</t>
  </si>
  <si>
    <t>Vadakupulber</t>
  </si>
  <si>
    <t>Vitamiin</t>
  </si>
  <si>
    <t>Rasvad</t>
  </si>
  <si>
    <t>Searasv</t>
  </si>
  <si>
    <t>Sulatatud rasv</t>
  </si>
  <si>
    <t>Väetis</t>
  </si>
  <si>
    <t xml:space="preserve">EF </t>
  </si>
  <si>
    <t>Väetis, AN, granuleeritud - EU keskmine</t>
  </si>
  <si>
    <t>kgCO2/kgN</t>
  </si>
  <si>
    <t>Fertilizers Europe 2019</t>
  </si>
  <si>
    <t>Väetis, AN, granuleeritud - Põhja-Ameerika</t>
  </si>
  <si>
    <t>Väetis, AN, granuleeritud - Ladina-Ameerika</t>
  </si>
  <si>
    <t>Väetis, AN, granuleeritud - Aafrika</t>
  </si>
  <si>
    <t>Väetis, AN, granuleeritud - Lähis-Ida</t>
  </si>
  <si>
    <t>LCA jaoks see keskmine N-väetise EF</t>
  </si>
  <si>
    <t>Väetis, AN, granuleeritud - Kagu-Aasia</t>
  </si>
  <si>
    <t>Väetis, AN, granuleeritud - Lõuna-Aasia</t>
  </si>
  <si>
    <t>Väetis, AN, granuleeritud - Okeaania</t>
  </si>
  <si>
    <t>Väetis, AN, granuleeritud - Hiina keskmine</t>
  </si>
  <si>
    <t>Väetis, CAN, EU keskmine</t>
  </si>
  <si>
    <t>Väetis, CAN,  Venemaa ja Kesk-Aasia</t>
  </si>
  <si>
    <t>Väetis, CAN, Põhja-Ameerika</t>
  </si>
  <si>
    <t>Väetis, CAN,  Ladina-Ameerika</t>
  </si>
  <si>
    <t>Väetis, CAN, Aafrika</t>
  </si>
  <si>
    <t>Väetis, CAN,  Lähis-Ida</t>
  </si>
  <si>
    <t>Väetis, CAN, Kagu-Aasia</t>
  </si>
  <si>
    <t>Väetis, CAN,  Lõuna-Aasia</t>
  </si>
  <si>
    <t>Väetis, CAN, Okeaania</t>
  </si>
  <si>
    <t>Väetis, CAN,  Hiina keskmine</t>
  </si>
  <si>
    <t>Väetis, Uurea, EU keskmine</t>
  </si>
  <si>
    <t>Väetis, Uurea,  Venemaa ja Kesk-Aasia</t>
  </si>
  <si>
    <t>Väetis, Uurea, Põhja-Ameerika</t>
  </si>
  <si>
    <t>Väetis, Uurea, Ladina-Ameerika</t>
  </si>
  <si>
    <t>Väetis, Uurea, Aafrika</t>
  </si>
  <si>
    <t>Väetis, Uurea,  Lähis-Ida</t>
  </si>
  <si>
    <t>Väetis, Uurea, Kagu-Aasia</t>
  </si>
  <si>
    <t>Väetis, Uurea, Lõuna-Aasia</t>
  </si>
  <si>
    <t>Väetis, Uurea, Okeaania</t>
  </si>
  <si>
    <t>Väetis, Uurea, Hiina keskmine</t>
  </si>
  <si>
    <t>Väetis, UAN, EU keskmine</t>
  </si>
  <si>
    <t>Väetis, UAN,  Venemaa ja Kesk-Aasia</t>
  </si>
  <si>
    <t>Väetis, UAN, Põhja-Ameerika</t>
  </si>
  <si>
    <t>Väetis, UAN, Ladina-Ameerika</t>
  </si>
  <si>
    <t>Väetis, UAN, Aafrika</t>
  </si>
  <si>
    <t>Väetis, UAN, Lähis-Ida</t>
  </si>
  <si>
    <t>Väetis, UAN, Kagu-Aasia</t>
  </si>
  <si>
    <t>Väetis, UAN, Lõuna-Aasia</t>
  </si>
  <si>
    <t>Väetis, UAN, Okeaania</t>
  </si>
  <si>
    <t>Väetis, UAN, Hiina keskmine</t>
  </si>
  <si>
    <t>YaraBela Extran 33.5 (Ammonium nitrate (33.5% N))</t>
  </si>
  <si>
    <t>kgCO2eq/kgN</t>
  </si>
  <si>
    <t>1.24 kg CO2eq/kg product (Yara CO2 footprint declaration)</t>
  </si>
  <si>
    <t>YaraBela Extran 27 (Calcium ammonium nitrate (27% N))</t>
  </si>
  <si>
    <t>1.04 kg CO2eq/kg product (Yara CO2 footprint declaration)</t>
  </si>
  <si>
    <t>Yara UAN (Urea ammonium nitrate (30% N))</t>
  </si>
  <si>
    <t>1.06 kg CO2eq/kg product (Yara CO2 footprint declaration)</t>
  </si>
  <si>
    <t>Yara Vera (Urea (46% N))</t>
  </si>
  <si>
    <t>1.52 kg CO2eq/kg product (Yara CO2 footprint declaration)</t>
  </si>
  <si>
    <t>Yara Liva (Calcium nitrate (15.5% N))</t>
  </si>
  <si>
    <t>0.65 kg CO2eq/kg product (Yara CO2 footprint declaration)</t>
  </si>
  <si>
    <t>Yara Mila (NPK (15%N, 15%k2O, 15%P2O5))</t>
  </si>
  <si>
    <t>0.8 kg CO2eq/kg product (Yara CO2 footprint declaration)</t>
  </si>
  <si>
    <t>Ammooniumsulfaat (AS)</t>
  </si>
  <si>
    <t>F. Brentrup and C. Pallière (2014), Energy efficiency and GHG emissions in European nitrogen fertiliser production and use.</t>
  </si>
  <si>
    <t>Ammoonium nitraat sulfaat (ANS)</t>
  </si>
  <si>
    <t>Kaltsium nitraat (CN)</t>
  </si>
  <si>
    <t xml:space="preserve">Muu N-väetis </t>
  </si>
  <si>
    <t>European Commission: Standard values for emission factors, v 1.0. 2015</t>
  </si>
  <si>
    <t>Fosforväetis</t>
  </si>
  <si>
    <t>Kolmekordne superfosfaat  (TSP)</t>
  </si>
  <si>
    <t>kgCO2eq/kgP2O5</t>
  </si>
  <si>
    <t>Rock phosphate</t>
  </si>
  <si>
    <t xml:space="preserve"> Jenssen, T.K. et Kongshaug G., 2003, Energy Consumption and Greenhouse Gas Emissions in Fertiliser Production, Proceedings No. 509. International Fertiliser Society York, UK.</t>
  </si>
  <si>
    <t xml:space="preserve">Mono ammonium phosphate (MAP) </t>
  </si>
  <si>
    <t xml:space="preserve">Muu P-väetis </t>
  </si>
  <si>
    <t>Olmasolevate keskmine</t>
  </si>
  <si>
    <t>Kaaliumväetis</t>
  </si>
  <si>
    <t xml:space="preserve">Kaaliumkloriid (MOP) </t>
  </si>
  <si>
    <t>kgCO2eq/kgK2O</t>
  </si>
  <si>
    <t>Muu</t>
  </si>
  <si>
    <t>MgO</t>
  </si>
  <si>
    <t>kgCO2eq/kgMgO</t>
  </si>
  <si>
    <t>CaO-väetis</t>
  </si>
  <si>
    <t>kgCO2eq/kgCao</t>
  </si>
  <si>
    <t>kgCO2eq/kgNa</t>
  </si>
  <si>
    <t>HERBITSIIDID</t>
  </si>
  <si>
    <t>Toote nimi</t>
  </si>
  <si>
    <t>Toimeained:</t>
  </si>
  <si>
    <t>Heitetegur, kg CO2-e/l või kg</t>
  </si>
  <si>
    <t>Toimeaine</t>
  </si>
  <si>
    <t>Energia MJ/kg</t>
  </si>
  <si>
    <t>Taimekaitseregistris</t>
  </si>
  <si>
    <t>2,4-D</t>
  </si>
  <si>
    <t>Lubatud</t>
  </si>
  <si>
    <t>Bariton Super</t>
  </si>
  <si>
    <t>Tebukonasool 10 g/l,
protiokonasool 50 g/l,
fludioksoniil 37,5 g/l</t>
  </si>
  <si>
    <t>Atrasiin</t>
  </si>
  <si>
    <t>Lubatud, kuid ei kasutata</t>
  </si>
  <si>
    <t>Celest Trio 060 FS</t>
  </si>
  <si>
    <t>Difenokonasool 25 g/l, 
fludioksoniil 25 g/l, 
tebukonasool 10 g/l</t>
  </si>
  <si>
    <t>Bentasoon</t>
  </si>
  <si>
    <t>Kinto Plus</t>
  </si>
  <si>
    <t>Fluksapüroksaad 33,3 g/l,
fludioksoniil 33,3 g/l, 
tritikonasool 33,3 g/l</t>
  </si>
  <si>
    <t>Diflufenikaan</t>
  </si>
  <si>
    <t>Maxim 025 FS</t>
  </si>
  <si>
    <t>Fludioksoniil 25 g/l</t>
  </si>
  <si>
    <t>Dikamba</t>
  </si>
  <si>
    <t>Redigo Pro</t>
  </si>
  <si>
    <t>Protiokonasool 150 g/l, 
tebukonasool 20 g/l</t>
  </si>
  <si>
    <t>Dikvaat</t>
  </si>
  <si>
    <t>Vibrance Duo</t>
  </si>
  <si>
    <t>Sedaksaan 25 g/l, 
fludioksoniil 25 g/l</t>
  </si>
  <si>
    <t>Diuroon</t>
  </si>
  <si>
    <t>Sedaksaan 25 g/l, 
fludioksoniil 25 g/l, 
tritikonasool 20 g/l</t>
  </si>
  <si>
    <t>Fluasifop-butüül</t>
  </si>
  <si>
    <t>Fulroksüpüür</t>
  </si>
  <si>
    <t>2,4 D Nufarm</t>
  </si>
  <si>
    <t>2,4 D DMA 600 g/l</t>
  </si>
  <si>
    <t>Glüfosaat</t>
  </si>
  <si>
    <t>Ariane S</t>
  </si>
  <si>
    <t>Fluroksüopüür 40g/l, 
klopüraliid 20 g/l, 
MCPA 200 g/l</t>
  </si>
  <si>
    <t>Isoproturoon</t>
  </si>
  <si>
    <t>Attribut</t>
  </si>
  <si>
    <t>Propoksükarbasoon-naatrium 700 g/kg</t>
  </si>
  <si>
    <t>Klorsulforoon</t>
  </si>
  <si>
    <t>Axial 50 EC</t>
  </si>
  <si>
    <t>Pinoksadeen 50 g/l</t>
  </si>
  <si>
    <t>Linuroon</t>
  </si>
  <si>
    <t>Banvel 4 S</t>
  </si>
  <si>
    <t>Dikamba 480 g/l</t>
  </si>
  <si>
    <t>MCPA</t>
  </si>
  <si>
    <t>Barbarian Biograde 360, 20 ltr</t>
  </si>
  <si>
    <t>Glüfosaat 360 g/l</t>
  </si>
  <si>
    <t>Mekoprop-P</t>
  </si>
  <si>
    <t>Barca 334 SL</t>
  </si>
  <si>
    <t xml:space="preserve">Klopüraliid 267 g/l, 
pikloraam 67 g/l 
</t>
  </si>
  <si>
    <t>Mepikvaatkloriid</t>
  </si>
  <si>
    <t>Basagran 480</t>
  </si>
  <si>
    <t>Bentasoon 480 g/l</t>
  </si>
  <si>
    <t>Metolakloor</t>
  </si>
  <si>
    <t>Belkar</t>
  </si>
  <si>
    <t xml:space="preserve">Metüülhalauksifeen 10 g/l, 
pikloraam 48 g/l 
</t>
  </si>
  <si>
    <t>Muu herbitsiid</t>
  </si>
  <si>
    <t>India</t>
  </si>
  <si>
    <t>Propakloor</t>
  </si>
  <si>
    <t>Biathlon 4D</t>
  </si>
  <si>
    <t>Tritosulfuroon 714 g/kg, 
florasulaam 54 g/kg</t>
  </si>
  <si>
    <t>Trifluraliin</t>
  </si>
  <si>
    <t>Boxer 800 EC</t>
  </si>
  <si>
    <t>Prosulfokarb 800 g/l</t>
  </si>
  <si>
    <t>Tsüanasiin</t>
  </si>
  <si>
    <t>Brasan 540 EC</t>
  </si>
  <si>
    <t>Dimetakloor 500 g/l, 
klomasoon 40 g/l</t>
  </si>
  <si>
    <t>INSEKTITSIIDID</t>
  </si>
  <si>
    <t>Buster</t>
  </si>
  <si>
    <t>Metüültribenuroon 750 g/kg</t>
  </si>
  <si>
    <t>Butisan Avant</t>
  </si>
  <si>
    <t xml:space="preserve">Metasakloor 300 g/l, 
dimetenamiid-P 100 g/l, 
kvinmerak 100 g/l </t>
  </si>
  <si>
    <t>Etefoon</t>
  </si>
  <si>
    <t>Butisan Star</t>
  </si>
  <si>
    <t>Metasakloor 333 g/l, 
kvinmerak 83 g/l</t>
  </si>
  <si>
    <t>Foraat</t>
  </si>
  <si>
    <t>Calibre 50 SX</t>
  </si>
  <si>
    <t>Metüültiofeensulfuroon 333 g/kg, 
metüültribenuroon 167 g/kg</t>
  </si>
  <si>
    <t>Karbarüül</t>
  </si>
  <si>
    <t>Clamox</t>
  </si>
  <si>
    <t>Imasamoks 35 g/l,
kvinmerak 250 g/l</t>
  </si>
  <si>
    <t>Karbofuraan</t>
  </si>
  <si>
    <t>Corum</t>
  </si>
  <si>
    <t>Bentasoon 480 g/l, 
Imasamoks 22,4 g/l</t>
  </si>
  <si>
    <t>Küpermetriin</t>
  </si>
  <si>
    <t>Credit Xtreme</t>
  </si>
  <si>
    <t>Glüfosaat 540 g/l</t>
  </si>
  <si>
    <t>Metiokarb</t>
  </si>
  <si>
    <t>Elumis 105 OD</t>
  </si>
  <si>
    <t>Mesotrioon 75 g/l ,
nikosulfuroon 30 g/l</t>
  </si>
  <si>
    <t>Metüülparatioon</t>
  </si>
  <si>
    <t>Ergon</t>
  </si>
  <si>
    <t>Metüülmetsulfuroon 68 g/kg, 
metüültiofeensulfuroon 682 g/kg</t>
  </si>
  <si>
    <t>Muu insektitsiid</t>
  </si>
  <si>
    <t>Fenix</t>
  </si>
  <si>
    <t>Aklonifeen 600 g/l</t>
  </si>
  <si>
    <t>Paratioon</t>
  </si>
  <si>
    <t>Flight Forte</t>
  </si>
  <si>
    <t xml:space="preserve">Pendimetaliin 320 g/l, 
pikolinafeen 16 g/l </t>
  </si>
  <si>
    <t>Tsüpermetriin</t>
  </si>
  <si>
    <t>Flurostar 180</t>
  </si>
  <si>
    <t>Fluroksüpüür 180 g/l</t>
  </si>
  <si>
    <t>FUNGITSIIDID</t>
  </si>
  <si>
    <t>Galera</t>
  </si>
  <si>
    <t>Komplet</t>
  </si>
  <si>
    <t>Flufenatseet 280 g/l,
diflufenikaan 280 g/l</t>
  </si>
  <si>
    <t>Fenpropidiin</t>
  </si>
  <si>
    <t>Korvetto</t>
  </si>
  <si>
    <t>Metüülhalauksifeen 5 g/l,
klopüraliid 120 g/l</t>
  </si>
  <si>
    <t>Heksakonasool</t>
  </si>
  <si>
    <t>Legacy 500 SC</t>
  </si>
  <si>
    <t>Diflufenikaan 500 g/l</t>
  </si>
  <si>
    <t>Iisrael</t>
  </si>
  <si>
    <t>Kaptaan</t>
  </si>
  <si>
    <t>Legacy Pro</t>
  </si>
  <si>
    <t xml:space="preserve">Diflufenikaan 40 g/l, 
pendimetaliin 300 g/l, 
kloortoluroon 250 g/l 
</t>
  </si>
  <si>
    <t>Klorotaloniil</t>
  </si>
  <si>
    <t>Leopard</t>
  </si>
  <si>
    <t xml:space="preserve">kvisalofop-P-etüül 50 g/l 
</t>
  </si>
  <si>
    <t>Maneeb</t>
  </si>
  <si>
    <t>Lontrel 600 SL</t>
  </si>
  <si>
    <t xml:space="preserve">Klopüraliid 600 g/l </t>
  </si>
  <si>
    <t>Muu fungitsiid</t>
  </si>
  <si>
    <t>Lontrel 72 SG</t>
  </si>
  <si>
    <t xml:space="preserve">Klopüraliid 720 g/l </t>
  </si>
  <si>
    <t>Tebukonasool</t>
  </si>
  <si>
    <t>Maister Power OD</t>
  </si>
  <si>
    <t>Foraamsulfuroon 30 g/l, 
metüüljodosulfuroon-naatrium 1 g/l,
etüülisoksadifeen 30 g/l (kultuurtaimede kaitseks)</t>
  </si>
  <si>
    <t>Metazamix</t>
  </si>
  <si>
    <t xml:space="preserve">Metasakloor 500 g/l, 
aminopüraliid 5,3 g/l,
pikloraam 13,3 g/l </t>
  </si>
  <si>
    <t>Seemnematerjal</t>
  </si>
  <si>
    <t>Tavatootmine (kg CO2-ekv/kg)</t>
  </si>
  <si>
    <t>Sertifitseeritud seemne tootmine (kg CO2-ekv/kg)</t>
  </si>
  <si>
    <t>Mistral 700 WG</t>
  </si>
  <si>
    <t xml:space="preserve">Metribusiin 700 g/kg </t>
  </si>
  <si>
    <t>Mustang</t>
  </si>
  <si>
    <t>Florasulaam 6,25 g/l,
2,4-D 300 g/l</t>
  </si>
  <si>
    <t>Mais</t>
  </si>
  <si>
    <t>Nufarm MCPA 750</t>
  </si>
  <si>
    <t xml:space="preserve">MCPA 750 g/l </t>
  </si>
  <si>
    <t>Primus</t>
  </si>
  <si>
    <t>Florasulaam 50 g/l</t>
  </si>
  <si>
    <t>Quelex</t>
  </si>
  <si>
    <t>Metüülhalauksifeen 104,23 g/kg,
florasulaam 100 g/kg,
meksüülklokvintotseet 70,8 g/kg</t>
  </si>
  <si>
    <t>Rodeo FL</t>
  </si>
  <si>
    <t>Muu teravili</t>
  </si>
  <si>
    <t>Sekator OD</t>
  </si>
  <si>
    <t xml:space="preserve">Amidosulfuroon 100 g/kg,
metüüljodosulfuroon-naatrium 25 g/l,
mefenpüür-dietüül 250 g/l </t>
  </si>
  <si>
    <t>Stomp CS</t>
  </si>
  <si>
    <t>Pendimetaliin 455 g/l</t>
  </si>
  <si>
    <t>Sultan 500 SC</t>
  </si>
  <si>
    <t xml:space="preserve">Metasakloor 500 g/l </t>
  </si>
  <si>
    <t>Zetrola</t>
  </si>
  <si>
    <t xml:space="preserve">Propakvisafop 100 g/l </t>
  </si>
  <si>
    <t>Taifun B, 20 ltr</t>
  </si>
  <si>
    <t>Muu liblikõieline</t>
  </si>
  <si>
    <t>Targa Super</t>
  </si>
  <si>
    <t xml:space="preserve">Kvisalofop-P-etüül 50 g/l </t>
  </si>
  <si>
    <t>Teridox 500 EC</t>
  </si>
  <si>
    <t>Dimetakloor 500 g/l</t>
  </si>
  <si>
    <t>Linaseeme</t>
  </si>
  <si>
    <t>Tombo WG</t>
  </si>
  <si>
    <t xml:space="preserve">Püroksulaam 50 g/kg, 
florasulaam 25 g/kg, 
aminopüraliid 50 g/kg </t>
  </si>
  <si>
    <t>Päevalilleseeme</t>
  </si>
  <si>
    <t>Trimmer 50 SG</t>
  </si>
  <si>
    <t>metüültribenuroon 500 g/kg</t>
  </si>
  <si>
    <t>Sorgo</t>
  </si>
  <si>
    <t>Amistar Gold</t>
  </si>
  <si>
    <t>Asoksüstrobiin 125 g/l,
difenokonasool 125 g/l</t>
  </si>
  <si>
    <t>Ascra Xpro</t>
  </si>
  <si>
    <t>Protiokonasool 130 g/l, 
fluopüraam 65 g/l, 
biksafeen 65 g/l</t>
  </si>
  <si>
    <t>Balaya</t>
  </si>
  <si>
    <t>Revysol 100 g/l,
püraklostrobiin 100 g/l</t>
  </si>
  <si>
    <t>Balaya Flex Pack</t>
  </si>
  <si>
    <t>Revysol 100 g/l,
püraklostrobiin 100 g/l
+ metrafenoon 300 g/l</t>
  </si>
  <si>
    <t>Cantus Gold</t>
  </si>
  <si>
    <t xml:space="preserve">Boskaliid 200 g/l, 
dimoksüstrobiin 200 g/l </t>
  </si>
  <si>
    <t>Efilor</t>
  </si>
  <si>
    <t>Metkonasool 60 g/l, 
boskaliid 133 g/l.</t>
  </si>
  <si>
    <t>Elatus Era</t>
  </si>
  <si>
    <t xml:space="preserve">Bensovindiflupüür 75 g/l,
protiokonasool 150 g/l
</t>
  </si>
  <si>
    <t>Falcon Forte</t>
  </si>
  <si>
    <t>Protiokonasool 53 g/l,
spiroksamiin 224 g/l,
tebukonasool 148 g/l</t>
  </si>
  <si>
    <t>Tootepõhise hindamise tarbeks</t>
  </si>
  <si>
    <t>Flexity</t>
  </si>
  <si>
    <t xml:space="preserve">Metrafenoon 300 g/l 
</t>
  </si>
  <si>
    <t>Folicur</t>
  </si>
  <si>
    <t xml:space="preserve">Tebukonasool 250 g/l </t>
  </si>
  <si>
    <t>Input</t>
  </si>
  <si>
    <t xml:space="preserve">Protiokonasool 160 g/l,
spiroksamiin 300 g/l </t>
  </si>
  <si>
    <t>Input Triple</t>
  </si>
  <si>
    <t>Prokvinasiid 40 g/l, 
Protiokonasool 160 g/l, 
Spiroksamiin 200 g/l</t>
  </si>
  <si>
    <t>Leander</t>
  </si>
  <si>
    <t>Fenpropidiin 750 g/l</t>
  </si>
  <si>
    <t>Pictor Active</t>
  </si>
  <si>
    <t>Boskaliid 150 g/l, 
püraklostrobiin 250 g/l</t>
  </si>
  <si>
    <t>Priaxor</t>
  </si>
  <si>
    <t>Fluksapüroksaad 75 g/l,
püraklostrobiin 150 g/l</t>
  </si>
  <si>
    <t>Priaxor+Curbatur</t>
  </si>
  <si>
    <t>Fluksapüroksaad 75 g/l,
püraklostrobiin 150 g/l
+
protiokonasool 250 g/l</t>
  </si>
  <si>
    <t>Propulse</t>
  </si>
  <si>
    <t xml:space="preserve">Protiokonasool 125 g/l,
fluopüraam 125 g/l </t>
  </si>
  <si>
    <t>Prosaro</t>
  </si>
  <si>
    <t xml:space="preserve">Protiokonasool 125 g/l,
tebukonasool 125 g/l 
</t>
  </si>
  <si>
    <t>Protendo 300 EC</t>
  </si>
  <si>
    <t>Protiokonasool 300 g/l</t>
  </si>
  <si>
    <t>Revysol 66,7 g/l,
fluksapüroksaad 66,7 g/l</t>
  </si>
  <si>
    <t>Signum</t>
  </si>
  <si>
    <t xml:space="preserve">Boskaliid 267 g/kg, 
püraklostrobiin 67 g/kg </t>
  </si>
  <si>
    <t>Switch 62,5 WG</t>
  </si>
  <si>
    <t>Fludioksoniil 250 g/kg,
tsüprodiniil 375 g/kg</t>
  </si>
  <si>
    <t>Zantara</t>
  </si>
  <si>
    <t>Tebukonasool 166 g/l,
biksafeen 50 g/l</t>
  </si>
  <si>
    <t>Protiokonasool 100 g/l, 
fluoksastrobiin 50 g/l, 
biksafeen 40 g/l</t>
  </si>
  <si>
    <t>Avaunt</t>
  </si>
  <si>
    <t>Indoksakarb 150 g/l</t>
  </si>
  <si>
    <t>Decis Mega</t>
  </si>
  <si>
    <t>Deltametriin 50 g/l</t>
  </si>
  <si>
    <t>Tau-fluvalinaat 240 g/l</t>
  </si>
  <si>
    <t>Lambda-tsühalotriin 50 g/kg</t>
  </si>
  <si>
    <t>Karate Zeon 5 CS</t>
  </si>
  <si>
    <t>Lambda-tsühalotriin 50 g/l</t>
  </si>
  <si>
    <t>Kasvuregulaatorid</t>
  </si>
  <si>
    <t>Artina EC</t>
  </si>
  <si>
    <t xml:space="preserve">Metkonasool 90 g/l </t>
  </si>
  <si>
    <t>Caryx</t>
  </si>
  <si>
    <t xml:space="preserve">Mepikvaatkloriid 210 g/l, 
metkonasool 30 g/l </t>
  </si>
  <si>
    <t>Cerone 480</t>
  </si>
  <si>
    <t>Etefoon 480 g/l</t>
  </si>
  <si>
    <t>Juventus</t>
  </si>
  <si>
    <t>Medax Max</t>
  </si>
  <si>
    <t xml:space="preserve">Proheksadioonkaltsium 50 g/kg, 
etüültrineksapak 75 g/kg 
</t>
  </si>
  <si>
    <t>Medax Top.</t>
  </si>
  <si>
    <t xml:space="preserve">Proheksadioonkaltsium 50 g/l, 
mepikvaatkloriid 300 g//l </t>
  </si>
  <si>
    <t>Moddus 250 EC</t>
  </si>
  <si>
    <t xml:space="preserve">Etüültrineksapak 250 g/l </t>
  </si>
  <si>
    <t>Moddus Start</t>
  </si>
  <si>
    <t>Orius 250 EW</t>
  </si>
  <si>
    <t>Tebukonasool 250 g/l</t>
  </si>
  <si>
    <t>Stabilan 750 SL</t>
  </si>
  <si>
    <t xml:space="preserve">Kloormekvaatkloriid 750 g/l </t>
  </si>
  <si>
    <t>Terpal</t>
  </si>
  <si>
    <t xml:space="preserve">Mepikvaatkloriid 305 g/l, 
etefoon 155 g/l </t>
  </si>
  <si>
    <t>Tilmor</t>
  </si>
  <si>
    <t xml:space="preserve">Protiokonasool 80 g/l, 
tebukonasool 160 g/l </t>
  </si>
  <si>
    <t>Toprex 375 SC</t>
  </si>
  <si>
    <t xml:space="preserve">Difenokonasool 250 g/l,
paklobutrasool 125 g/l </t>
  </si>
  <si>
    <t>Energia</t>
  </si>
  <si>
    <t>Kütuse-/energialiik</t>
  </si>
  <si>
    <t>Andmeallikas</t>
  </si>
  <si>
    <t>kg CO2 ekv/kg</t>
  </si>
  <si>
    <t>Sisseostetud kuivatusteenus</t>
  </si>
  <si>
    <t>Biomass (nt puiduhake, saepuru) (kWh)</t>
  </si>
  <si>
    <t>kg CO2 ekv/kWh</t>
  </si>
  <si>
    <t>KHG inventuuri aruanne 2023, katlad 1-50MW</t>
  </si>
  <si>
    <t>Biomass (nt puiduhake, saepuru)</t>
  </si>
  <si>
    <t>Biometaan (kWh)</t>
  </si>
  <si>
    <t xml:space="preserve">Biometaan </t>
  </si>
  <si>
    <t>Biometaan (mᶟ)</t>
  </si>
  <si>
    <t>kg CO2 ekv/m3</t>
  </si>
  <si>
    <t>KHG inventuuri aruanne 2023</t>
  </si>
  <si>
    <t>Diisel (kWh)</t>
  </si>
  <si>
    <t xml:space="preserve">Kerge kütteõli </t>
  </si>
  <si>
    <t>Diisel (l)</t>
  </si>
  <si>
    <t>kg CO2 ekv/l</t>
  </si>
  <si>
    <t xml:space="preserve">Põlevkiviõli kerge fraktsioon </t>
  </si>
  <si>
    <t>Kerge kütteõli (kWh)</t>
  </si>
  <si>
    <t xml:space="preserve">Põlevkiviõli raske fraktsioon </t>
  </si>
  <si>
    <t>Maagaas (kWh)</t>
  </si>
  <si>
    <t>Raske kütteõli</t>
  </si>
  <si>
    <t xml:space="preserve">Vedelgaas (LNG) </t>
  </si>
  <si>
    <t>Põlevkivi (kWh)</t>
  </si>
  <si>
    <t xml:space="preserve">Veeldatud naftagaas (LPG) </t>
  </si>
  <si>
    <t>Põlevkiviõli kerge fraktsioon (kg)</t>
  </si>
  <si>
    <t>Põlevkiviõli kerge fraktsioon (kWh)</t>
  </si>
  <si>
    <t>Põlevkiviõli raske fraktsioon (kg)</t>
  </si>
  <si>
    <t>Põlevkiviõli raske fraktsioon (kWh)</t>
  </si>
  <si>
    <t>Raske kütteõli (kg)</t>
  </si>
  <si>
    <t>Raske kütteõli (kWh)</t>
  </si>
  <si>
    <t>Vedelgaas (LNG) (kWh)</t>
  </si>
  <si>
    <t>Veeldatud naftagaas (LPG) (kWh)</t>
  </si>
  <si>
    <t>kg biogeenne CO2/kg</t>
  </si>
  <si>
    <t>kg biogeenne CO2/kWh</t>
  </si>
  <si>
    <t>kg biogeenne CO2/m3</t>
  </si>
  <si>
    <t>M2 - SISSEOSTETUD ELEKTER</t>
  </si>
  <si>
    <t xml:space="preserve">CoM 2017 </t>
  </si>
  <si>
    <t>kg CO2/kWh</t>
  </si>
  <si>
    <t>M2 - SISSEOSTETUD SOOJUSENERGIA</t>
  </si>
  <si>
    <t>Kaugküte/lokaalküte</t>
  </si>
  <si>
    <t xml:space="preserve">Eriheitetegur </t>
  </si>
  <si>
    <t>Riigihalduse ministri määruse „Energiahinna tõusu leevendusmeede vähemkindlustatud peredele“ seletus 7.01.2022 (kütuse osakaalud 2020) (https://www.fin.ee/media/6631/download), arvestuslik katla kasutegur 80%</t>
  </si>
  <si>
    <t>Sõidukikütused</t>
  </si>
  <si>
    <t>Kütuseliik ja koguse ühik</t>
  </si>
  <si>
    <t>Maanteesõiduki biodiisel FAME (l)</t>
  </si>
  <si>
    <t>Maanteesõiduki biodiisel HVO (l)</t>
  </si>
  <si>
    <t>Maanteesõiduki biodiisel ME (l)</t>
  </si>
  <si>
    <t>UK GHG Conversion Factors 2022</t>
  </si>
  <si>
    <t>Bensiin, raskeveok (l)</t>
  </si>
  <si>
    <t>Bio-CNG, kaubik (kg)</t>
  </si>
  <si>
    <t>Bio-CNG, raskeveok/buss (kg)</t>
  </si>
  <si>
    <t>Bio-CNG, sõiduauto (kg)</t>
  </si>
  <si>
    <t>CNG, kaubik (kg)</t>
  </si>
  <si>
    <t>CNG, raskeveok/buss (kg)</t>
  </si>
  <si>
    <t>CNG, sõiduauto (kg)</t>
  </si>
  <si>
    <t>Diisel, ekskavaator (l)</t>
  </si>
  <si>
    <t>Diisel, harvester (l)</t>
  </si>
  <si>
    <t>Diisel, laadur (l)</t>
  </si>
  <si>
    <t>Diisel, buss (l)</t>
  </si>
  <si>
    <t>Diisel, raskeveok (l)</t>
  </si>
  <si>
    <t>Diisel, sõiduauto (l)</t>
  </si>
  <si>
    <t>LPG, kaubik (kg)</t>
  </si>
  <si>
    <t>LPG, raskeveok/buss (kg)</t>
  </si>
  <si>
    <t>LPG, sõiduauto (kg)</t>
  </si>
  <si>
    <t>Energiaga seotud kaudsed mõjud</t>
  </si>
  <si>
    <t>UK Government GHG Conversion Factors for Company Reporting 2022</t>
  </si>
  <si>
    <t>Eeldusel, et biometaani tihedus on 1,15 kg/m3</t>
  </si>
  <si>
    <t>Arvutatud Siirde jt. 2013 põhjal. Eelduseks kütteväärtus 42,3MJ/kg</t>
  </si>
  <si>
    <t>Arvutatud Siirde jt. 2013 põhjal. Eelduseks kütteväärtus 39,5 MJ/kg</t>
  </si>
  <si>
    <t>Statistikaameti andmed, 2021 aasta kohta</t>
  </si>
  <si>
    <t>Statistikaameti andmed, 2016 aasta kohta</t>
  </si>
  <si>
    <t>F-gaasid</t>
  </si>
  <si>
    <t>Keemiline valem/gaas</t>
  </si>
  <si>
    <t>Globaalse soojenemise potentsiaal (GSP)</t>
  </si>
  <si>
    <t>CHF2OCHClCF3</t>
  </si>
  <si>
    <t>IPCC AR4</t>
  </si>
  <si>
    <t>HFC-125 (R-125)</t>
  </si>
  <si>
    <t>C2HF5</t>
  </si>
  <si>
    <t>HFC-134 (R-134)</t>
  </si>
  <si>
    <t>C2H2F4</t>
  </si>
  <si>
    <t>HFC-143 (R-143)</t>
  </si>
  <si>
    <t>C2H3F3</t>
  </si>
  <si>
    <t>HFC-143a (R-143a)</t>
  </si>
  <si>
    <t>HFC-152 (R-152)</t>
  </si>
  <si>
    <t>C2H4F2</t>
  </si>
  <si>
    <t>HFC-152a (R-152a)</t>
  </si>
  <si>
    <t>HFC-161 (R-161)</t>
  </si>
  <si>
    <t>C2H5F</t>
  </si>
  <si>
    <t>HFC-227ea (R-227ea)</t>
  </si>
  <si>
    <t>C3HF7</t>
  </si>
  <si>
    <t>CHF3</t>
  </si>
  <si>
    <t>HFC-236cb (R-236cb)</t>
  </si>
  <si>
    <t>C3H2F6</t>
  </si>
  <si>
    <t>HFC-236ea (R-236ea)</t>
  </si>
  <si>
    <t>HFC-236fa (R-236fa)</t>
  </si>
  <si>
    <t>HFC-245ca (R-245ca)</t>
  </si>
  <si>
    <t>C3H3F5</t>
  </si>
  <si>
    <t>HFC-245fa (R-245fa)</t>
  </si>
  <si>
    <t>HFC-32 (R-32)</t>
  </si>
  <si>
    <t>CH2F2</t>
  </si>
  <si>
    <t>HFC-365mfc  </t>
  </si>
  <si>
    <t>C4H5F5</t>
  </si>
  <si>
    <t>HFC-41 (R-41)</t>
  </si>
  <si>
    <t>CH3F</t>
  </si>
  <si>
    <t>HFC-43-10mee (R-4310)</t>
  </si>
  <si>
    <t>C5H2F10</t>
  </si>
  <si>
    <t>HFE-125</t>
  </si>
  <si>
    <t>CHF2OCF3</t>
  </si>
  <si>
    <t>HFE-134</t>
  </si>
  <si>
    <t>CHF2OCHF2</t>
  </si>
  <si>
    <t>HFE-143a</t>
  </si>
  <si>
    <t>CH3OCF3</t>
  </si>
  <si>
    <t>HFE-236ca12 (HG-10)</t>
  </si>
  <si>
    <t>CHF2OCF2OCHF2</t>
  </si>
  <si>
    <t>HFE-245cb2</t>
  </si>
  <si>
    <t>CH3OCF2CF3</t>
  </si>
  <si>
    <t>HFE-245fa2</t>
  </si>
  <si>
    <t>CHF2OCH2CF3</t>
  </si>
  <si>
    <t>HFE-338pcc13 (HG-01)</t>
  </si>
  <si>
    <t>CHF2OCF2CF2OCHF2</t>
  </si>
  <si>
    <t>HFE-347mcc3</t>
  </si>
  <si>
    <t>CH3OCF2CF2CF3</t>
  </si>
  <si>
    <t>IPCC AR5</t>
  </si>
  <si>
    <t>HFE-347pcf2</t>
  </si>
  <si>
    <t>CHF2CF2OCH2CF3</t>
  </si>
  <si>
    <t>HFE-356pcc3</t>
  </si>
  <si>
    <t>CH3OCF2CF2CHF2</t>
  </si>
  <si>
    <t>HFE-356pcf3</t>
  </si>
  <si>
    <t>CHF2CF2CH2OCHF2</t>
  </si>
  <si>
    <t>HFE-374pc2</t>
  </si>
  <si>
    <t>CHF2CF2OCH2CH3</t>
  </si>
  <si>
    <t>HFE-43-10pccc124 (H-Galden 1040x)</t>
  </si>
  <si>
    <t>CHF2OCF2OC2F4OCHF2</t>
  </si>
  <si>
    <t>HFE-449sl (HFE-7100)</t>
  </si>
  <si>
    <t>C4F9OCH3</t>
  </si>
  <si>
    <t>HFE-569sf2 (HFE-7200)</t>
  </si>
  <si>
    <t>C4F9OC2H5</t>
  </si>
  <si>
    <t xml:space="preserve">Lämmastiktrifluoriid </t>
  </si>
  <si>
    <t>NF3</t>
  </si>
  <si>
    <t>PFC-116 (perfluoroetaan)  </t>
  </si>
  <si>
    <t>C2F6</t>
  </si>
  <si>
    <t>PFC-14 (perfluorometaan)</t>
  </si>
  <si>
    <t>CF4</t>
  </si>
  <si>
    <t>PFC-218 (perfluoropropaan)  </t>
  </si>
  <si>
    <t>C3F8</t>
  </si>
  <si>
    <t>C4F10</t>
  </si>
  <si>
    <t>PFC-318 (perfluorotsüklobutaan)</t>
  </si>
  <si>
    <t>c-C4F8</t>
  </si>
  <si>
    <t>C5F12</t>
  </si>
  <si>
    <t>C6F14</t>
  </si>
  <si>
    <t>C10F18</t>
  </si>
  <si>
    <t>PFPMIE (perfluoropolümetüülisopropüül-eeter)</t>
  </si>
  <si>
    <t>CF3OCF(CF3)CF2OCF2OCF3</t>
  </si>
  <si>
    <t>R-401A</t>
  </si>
  <si>
    <t>HFC</t>
  </si>
  <si>
    <t>R-401B</t>
  </si>
  <si>
    <t>R-401C</t>
  </si>
  <si>
    <t>R-402A</t>
  </si>
  <si>
    <t>R-402B</t>
  </si>
  <si>
    <t>PFC</t>
  </si>
  <si>
    <t>R-403B</t>
  </si>
  <si>
    <t>R-404A</t>
  </si>
  <si>
    <t>R-407A</t>
  </si>
  <si>
    <t>R-407B</t>
  </si>
  <si>
    <t>R-407C</t>
  </si>
  <si>
    <t>R-407D</t>
  </si>
  <si>
    <t>R-407E</t>
  </si>
  <si>
    <t>R-407F</t>
  </si>
  <si>
    <t>R-408A</t>
  </si>
  <si>
    <t>R-410A</t>
  </si>
  <si>
    <t>R-410B</t>
  </si>
  <si>
    <t>R-411A</t>
  </si>
  <si>
    <t>R-411B</t>
  </si>
  <si>
    <t>R-416A</t>
  </si>
  <si>
    <t>R-417A</t>
  </si>
  <si>
    <t>R-417B</t>
  </si>
  <si>
    <t>R-417C</t>
  </si>
  <si>
    <t>R-419A</t>
  </si>
  <si>
    <t>R-419B</t>
  </si>
  <si>
    <t>R-420A</t>
  </si>
  <si>
    <t>R-421A</t>
  </si>
  <si>
    <t>R-421B</t>
  </si>
  <si>
    <t>R-422A</t>
  </si>
  <si>
    <t>R-422B</t>
  </si>
  <si>
    <t>R-422C</t>
  </si>
  <si>
    <t>R-422D</t>
  </si>
  <si>
    <t>R-422E</t>
  </si>
  <si>
    <t>R-423A</t>
  </si>
  <si>
    <t>R-424A</t>
  </si>
  <si>
    <t>R-425A</t>
  </si>
  <si>
    <t>R-426A</t>
  </si>
  <si>
    <t>R-427A</t>
  </si>
  <si>
    <t>R-428A</t>
  </si>
  <si>
    <t>R-429A</t>
  </si>
  <si>
    <t>R-430A</t>
  </si>
  <si>
    <t>R-431A</t>
  </si>
  <si>
    <t>R-434A</t>
  </si>
  <si>
    <t>R-435A</t>
  </si>
  <si>
    <t>R-437A</t>
  </si>
  <si>
    <t>R-438A</t>
  </si>
  <si>
    <t>R-439A</t>
  </si>
  <si>
    <t>R-444A</t>
  </si>
  <si>
    <t>R-445A</t>
  </si>
  <si>
    <t>R-500</t>
  </si>
  <si>
    <t>R-503</t>
  </si>
  <si>
    <t>R-507</t>
  </si>
  <si>
    <t>R-507A</t>
  </si>
  <si>
    <t>R-509</t>
  </si>
  <si>
    <t>R-509A</t>
  </si>
  <si>
    <t>R-512A</t>
  </si>
  <si>
    <t>Teadmata</t>
  </si>
  <si>
    <t>Trifluorometüülväävelpentafluoriid</t>
  </si>
  <si>
    <t>SF5CF3</t>
  </si>
  <si>
    <t>Väävelheksafluoriid</t>
  </si>
  <si>
    <t>SF6</t>
  </si>
  <si>
    <t>Ühisveevärgist veevõtt</t>
  </si>
  <si>
    <t>kg CO2-ekv/m3</t>
  </si>
  <si>
    <t>Reovesi kanalisatsiooni</t>
  </si>
  <si>
    <t>Eriheitetegur kokku</t>
  </si>
  <si>
    <t>kg CO2 ekv/tonn</t>
  </si>
  <si>
    <t>Eeldused: jäätmeveoki kütusekulu 0,39 l/km, kogumisringi pikkus keskmiselt 250 km, keskmine koorma kaal 9 t, raskeveoki (diisel) eriheitetegur - KHG inventuuri aruanne 2022</t>
  </si>
  <si>
    <t>Arvutuslik (kasutatakse prügilasse ladestamise eriheitetegurit)</t>
  </si>
  <si>
    <t xml:space="preserve">Arvutatud olelusringi hindamise mudeliga WAMPS (sisaldab nii segaolmejäätmete kogumise kui ladestamisega seotud KHG heiteid) </t>
  </si>
  <si>
    <t>TalTech, SEI Tallinn 2019</t>
  </si>
  <si>
    <t>kg CO2-ekv/t</t>
  </si>
  <si>
    <t>AS Vireeni 2022. aasta kütusekasutuse ja käideldud loomsete jäätmete koguse põhjal arvutatud</t>
  </si>
  <si>
    <t>Sõidukitüüp, kütuseliik ja transpordiühik</t>
  </si>
  <si>
    <t>Kaubik (bensiin), tonn-km</t>
  </si>
  <si>
    <t>kg CO2 ekv/tonn-km</t>
  </si>
  <si>
    <t>Arvestuslik keskmine koormakaal 1,2 t (LIPASTO arvutusvalem)</t>
  </si>
  <si>
    <t>Kaubik (biodiisel FAME), tonn-km</t>
  </si>
  <si>
    <t>Kaubik (biodiisel HVO), tonn-km</t>
  </si>
  <si>
    <t>Kaubik (diisel), tonn-km</t>
  </si>
  <si>
    <t>Kaubik (kütuseliik pole teada), tonn-km</t>
  </si>
  <si>
    <t>Kaubik (taastuvelekter), tonn-km</t>
  </si>
  <si>
    <t>Kaubik (tavaelekter), tonn-km</t>
  </si>
  <si>
    <t>Elektrikaubikute keskmise elektritarbimise alusel, arvestuslik keskmine koormakaal 1,2 t</t>
  </si>
  <si>
    <t>Keskmine jäiga kerega veoauto (7,5 t–20 t), biodiisel (FAME), tonn-km</t>
  </si>
  <si>
    <t>Keskmine arvestuslik täiskoorma kaal 9 t (LIPASTO)</t>
  </si>
  <si>
    <t>Keskmine jäiga kerega veoauto (7,5 t–20 t), biodiisel (HVO), tonn-km</t>
  </si>
  <si>
    <t>Keskmine jäiga kerega veoauto (7,5 t–20 t), diisel, tonn-km</t>
  </si>
  <si>
    <t>Suur jäiga kerega veoauto (&gt;20 t), biodiisel (FAME), tonn-km</t>
  </si>
  <si>
    <t>Keskmine arvestuslik täiskoorma kaal 19 t (LIPASTO)</t>
  </si>
  <si>
    <t>Suur jäiga kerega veoauto (&gt;20 t), biodiisel (HVO), tonn-km</t>
  </si>
  <si>
    <t>Suur jäiga kerega veoauto (&gt;20 t), diisel, tonn-km</t>
  </si>
  <si>
    <t>Suurus teadmata, jäiga kerega veoauto, biodiisel (FAME), tonn-km</t>
  </si>
  <si>
    <t>Kõigi jäiga kerega veoauto suuruste biodiisli (FAME) eriheitetegurite arvutuslik keskmine</t>
  </si>
  <si>
    <t>Suurus teadmata, jäiga kerega veoauto, biodiisel (HVO), tonn-km</t>
  </si>
  <si>
    <t>Kõigi jäiga kerega veoauto suuruste biodiisli (HVO) eriheitetegurite arvutuslik keskmine</t>
  </si>
  <si>
    <t>Suurus teadmata, diisel, tonn-km</t>
  </si>
  <si>
    <t>Kõigi jäiga kerega veoauto suuruste diisli eriheitetegurite arvutuslik keskmine</t>
  </si>
  <si>
    <t>Väike jäiga kerega veoauto (&lt;7,5 t), biodiisel (FAME), tonn-km</t>
  </si>
  <si>
    <t>Keskmine arvestuslik täiskoorma kaal 3,5 t (LIPASTO)</t>
  </si>
  <si>
    <t>Väike jäiga kerega veoauto (&lt;7,5 t), biodiisel (HVO), tonn-km</t>
  </si>
  <si>
    <t>Väike jäiga kerega veoauto (&lt;7,5 t), diisel, tonn-km</t>
  </si>
  <si>
    <t>Keskmine liigendveoauto (&gt;3,5–32 t), biodiisel (FAME), tonn-km</t>
  </si>
  <si>
    <t>Keskmine arvestuslik täiskoorma kaal 25 t (LIPASTO)</t>
  </si>
  <si>
    <t>Keskmine liigendveoauto (&gt;3,5–32 t), biodiisel (HVO), tonn-km</t>
  </si>
  <si>
    <t>Keskmine liigendveoauto (&gt;3,5–32 t), diisel, tonn-km</t>
  </si>
  <si>
    <t>Suur liigendveoauto (&gt;32 t), biodiisel (FAME), tonn-km</t>
  </si>
  <si>
    <t>Keskmine arvestuslik täiskoorma kaal 40 t (LIPASTO)</t>
  </si>
  <si>
    <t>Suur liigendveoauto (&gt;32 t), biodiisel (HVO), tonn-km</t>
  </si>
  <si>
    <t>Suur liigendveoauto (&gt;32 t), diisel, tonn-km</t>
  </si>
  <si>
    <t>Suurus teadmata, liigendveoauto, biodiisel (FAME), tonn-km</t>
  </si>
  <si>
    <t>KHG inventuur/COPERT, kõigi liigendveoauto suuruste biodiisli (FAME) eriheitetegurite arvutuslik keskmine</t>
  </si>
  <si>
    <t>Suurus teadmata, liigendveoauto, biodiisel (HVO), tonn-km</t>
  </si>
  <si>
    <t>KHG inventuur/COPERT, kõigi liigendveoauto suuruste biodiisli (HVO) eriheitetegurite arvutuslik keskmine</t>
  </si>
  <si>
    <t>Suurus teadmata, liigendveoauto,  diisel, tonn-km</t>
  </si>
  <si>
    <t>KHG inventuur/COPERT, kõigi liigendveoauto suuruste diisli eriheitetegurite arvutuslik keskmine</t>
  </si>
  <si>
    <t>Veoauto tüüp ja suurus teadmata, biodiisel (FAME), tonn-km</t>
  </si>
  <si>
    <t>KHG inventuur/COPERT, kõigi jäiga kerega ja liigendveoautode suuruste biodiisli (FAME) eriheitetegurite arvutuslik keskmine</t>
  </si>
  <si>
    <t>Veoauto tüüp ja suurus teadmata, biodiisel (HVO), tonn-km</t>
  </si>
  <si>
    <t>KHG inventuur/COPERT, kõigi jäiga kerega ja liigendveoautode suuruste biodiisli (HVO) eriheitetegurite arvutuslik keskmine</t>
  </si>
  <si>
    <t>Veoauto tüüp ja suurus teadmata, diisel, tonn-km</t>
  </si>
  <si>
    <t>KHG inventuur/COPERT, kõigi jäiga kerega ja liigendveoautode suuruste diisli eriheitetegurite arvutuslik keskmine</t>
  </si>
  <si>
    <t>Buss</t>
  </si>
  <si>
    <t>kg CO2 ekv/km</t>
  </si>
  <si>
    <t>Bussiteenuse pakkujad (keskmine kütusekulu l/km, maakondlik liin), KHG inventuuri aruanne 2022 (diiselbussi eriheitetegur)</t>
  </si>
  <si>
    <t>Väikebuss</t>
  </si>
  <si>
    <t>Kaubiku bensiini ja diisli keskmine eriheitetegur km kohta</t>
  </si>
  <si>
    <t>Diiselveduriga kaubarong (keskmine, Balti riigid + Venemaa)</t>
  </si>
  <si>
    <t>Kütusekulu arvutatud LIPASTO eelduste põhjal, KHG inventuuri aruanne 2022 (rongidiisli eriheitetegur)</t>
  </si>
  <si>
    <t>Kaubarong (keskmine, muu Euroopa)</t>
  </si>
  <si>
    <t>UK GHG Conversion Factors 2021</t>
  </si>
  <si>
    <t>Kaubalennuk (keskmistatud)</t>
  </si>
  <si>
    <t>Kemikaalitanker (keskmistatud)</t>
  </si>
  <si>
    <t xml:space="preserve">UK GHG Conversion Factors 2021 (keskmistatud võttes arvesse üldlevinud kemikaalitankerite suurust/tüüpi ja kasutamist) </t>
  </si>
  <si>
    <t>Konteinerilaev (keskmistatud)</t>
  </si>
  <si>
    <t xml:space="preserve">UK GHG Conversion Factors 2021 (keskmistatud võttes arvesse üldlevinud konteinerilaevade suurust/tüüpi ja kasutamist) </t>
  </si>
  <si>
    <t>Külmutatud kauba laev (kõik DWT-d)</t>
  </si>
  <si>
    <t xml:space="preserve">UK GHG Conversion Factors 2021 (keskmistatud võttes arvesse üldlevinud külmutatud laevade suurust/tüüpi ja kasutamist) </t>
  </si>
  <si>
    <t>LNG tanker (keskmistatud)</t>
  </si>
  <si>
    <t xml:space="preserve">UK GHG Conversion Factors 2021 (keskmistatud võttes arvesse üldlevinud LNG tankerite suurust/tüüpi ja kasutamist) </t>
  </si>
  <si>
    <t>LPG tanker (keskmistatud)</t>
  </si>
  <si>
    <t xml:space="preserve">UK GHG Conversion Factors 2021 (keskmistatud võttes arvesse üldlevinud LPG tankerite suurust/tüüpi ja kasutamist) </t>
  </si>
  <si>
    <t>Naftatanker (keskmistatud)</t>
  </si>
  <si>
    <t xml:space="preserve">UK GHG Conversion Factors 2021 (keskmistatud võttes arvesse üldlevinud naftatankerite suurust/tüüpi ja kasutamist) </t>
  </si>
  <si>
    <t>Parvlaev (reisi-kaubalaev, nt Tallinn-Helsingi/Stockholm)</t>
  </si>
  <si>
    <t>LIPASTO</t>
  </si>
  <si>
    <t>Puistlastilaev (bulker) (keskmistatud)</t>
  </si>
  <si>
    <t xml:space="preserve">UK GHG Conversion Factors 2021 (keskmistatud võttes arvesse üldlevinud puitlastilaevade suurust/tüüpi ja kasutamist) </t>
  </si>
  <si>
    <t>Ro-ro/ro-pax laev (2000+ LM)</t>
  </si>
  <si>
    <t>Ro-ro/ro-pax laev (valdav osa Eesti ja Põhjamaade vahel sõitvatest laevadest) (kuni 2000 LM)</t>
  </si>
  <si>
    <t>kg CO₂ ekv/tonn-km</t>
  </si>
  <si>
    <t xml:space="preserve">UK GHG Conversion Factors 2021 </t>
  </si>
  <si>
    <t>Tootetanker (keskmistatud)</t>
  </si>
  <si>
    <t xml:space="preserve">UK GHG Conversion Factors 2021 (keskmistatud võttes arvesse üldlevinud tootetankerite suurust/tüüpi ja kasutamist) </t>
  </si>
  <si>
    <t>Üldkaubalaev (keskmistatud)</t>
  </si>
  <si>
    <t xml:space="preserve">UK GHG Conversion Factors 2021 (keskmistatud võttes arvesse üldlevinud üldkaubalevade suurust/tüüpi ja kasutamist) </t>
  </si>
  <si>
    <t>Sõidukitüüp ja kütuseliik</t>
  </si>
  <si>
    <t>Mootorratas 4-taktiline &lt;250 cm³ (bensiin)</t>
  </si>
  <si>
    <t>Mootorratas 4-taktiline 250–750 cm³ (bensiin)</t>
  </si>
  <si>
    <t>Mopeed 4-taktiline &lt;50 cm³ (bensiin)</t>
  </si>
  <si>
    <t>Eeldus: keskmise sõiduauto gaasitarbimine on 0,057 kg/km ning kasutades sõiduauto bio-CNG eriheitetegurit kg kohta</t>
  </si>
  <si>
    <t>Sõiduauto (maagaas CNG)</t>
  </si>
  <si>
    <t>Sõiduauto (pistikhübriid: bensiin/tavaelekter) (keskmistatud)</t>
  </si>
  <si>
    <t>Sõiduauto (pistikhübriid: diisel/taastuvelekter) (keskmistatud)</t>
  </si>
  <si>
    <t>Sõiduauto (pistikhübriid: diisel/tavaelekter) (keskmistatud)</t>
  </si>
  <si>
    <t>Sõiduauto (taastuvelekter)</t>
  </si>
  <si>
    <t>Electric Vehicle Database (keskmine elektritarbimine: 0,2 kWh/km)</t>
  </si>
  <si>
    <t>Sõiduauto (veeldatud naftagaas LPG)</t>
  </si>
  <si>
    <t>Sõiduauto, keskmise suurusega (bensiin)</t>
  </si>
  <si>
    <t>Sõiduauto, keskmise suurusega (biodiisel FAME)</t>
  </si>
  <si>
    <t>Sõiduauto, keskmise suurusega (biodiisel HVO)</t>
  </si>
  <si>
    <t>Sõiduauto, keskmise suurusega (diisel)</t>
  </si>
  <si>
    <t>Sõiduauto, suur (bensiin)</t>
  </si>
  <si>
    <t>Sõiduauto, suur (biodiisel FAME)</t>
  </si>
  <si>
    <t>Sõiduauto, suur (biodiisel HVO)</t>
  </si>
  <si>
    <t>Sõiduauto, suur (diisel)</t>
  </si>
  <si>
    <t>Sõiduauto, suur (hübriid: bensiin/elekter)</t>
  </si>
  <si>
    <t>Sõiduauto, suurus ja kütus teadmata</t>
  </si>
  <si>
    <t>Keskmistatud sõiduautode keskmine eriheitetegur</t>
  </si>
  <si>
    <t>Sõiduauto, suurus teadmata (bensiin või diisel)</t>
  </si>
  <si>
    <t>Bensiinimootoriga sõiduautode keskmine eriheitetegur</t>
  </si>
  <si>
    <t>Sõiduauto, suurus teadmata (bensiin)</t>
  </si>
  <si>
    <t>Bensiini- ja diiselmootoriga sõiduautode keskmine eriheitetegur</t>
  </si>
  <si>
    <t>Sõiduauto, suurus teadmata (biodiisel FAME)</t>
  </si>
  <si>
    <t>Biodiislit FAME kasutavate sõiduautode keskmine eriheitetegur</t>
  </si>
  <si>
    <t>Sõiduauto, suurus teadmata (biodiisel HVO)</t>
  </si>
  <si>
    <t>Biodiislit HVO kasutavate sõiduautode keskmine eriheitetegur</t>
  </si>
  <si>
    <t>Sõiduauto, suurus teadmata (diisel)</t>
  </si>
  <si>
    <t>Diiselmootoriga sõiduautode keskmine eriheitetegur</t>
  </si>
  <si>
    <t>Sõiduauto, suurus teadmata (hübriid: bensiin/elekter)</t>
  </si>
  <si>
    <t>Hübriidmootoriga sõiduautode keskmine eriheitetegur</t>
  </si>
  <si>
    <t>Sõiduauto, väike (bensiin)</t>
  </si>
  <si>
    <t>Sõiduauto, väike (biodiisel FAME)</t>
  </si>
  <si>
    <t>Sõiduauto, väike (biodiisel HVO)</t>
  </si>
  <si>
    <t>Sõiduauto, väike (diisel)</t>
  </si>
  <si>
    <t>Sõiduauto, väike (hübriid: bensiin/elekter)</t>
  </si>
  <si>
    <t>Takso, keskmine</t>
  </si>
  <si>
    <t>kg CO2 ekv/sõitja-km</t>
  </si>
  <si>
    <t>Buss, kohalik liin (muud riigid)</t>
  </si>
  <si>
    <t>Buss, linnaliin (Eesti)</t>
  </si>
  <si>
    <t>Buss, maakondlik liin (Eesti)</t>
  </si>
  <si>
    <t>Lennuk, Euroopa-sisene lend (kuni 3700 km), tava-/turistiklass</t>
  </si>
  <si>
    <t>Lennuk, Euroopa-sisene lend (kuni 3700 km), äriklass</t>
  </si>
  <si>
    <t>Lennuk, lend väljapoole Euroopat (üle 3700 km), esimene klass</t>
  </si>
  <si>
    <t>Lennuk, lend väljapoole Euroopat (üle 3700 km), keskmine</t>
  </si>
  <si>
    <t>Lennuk, lend väljapoole Euroopat (üle 3700 km), tava-/turistiklass</t>
  </si>
  <si>
    <t>Lennuk, lend väljapoole Euroopat (üle 3700 km), äriklass</t>
  </si>
  <si>
    <t>Lennuk, riigisisene lend, tava-/turistiklass</t>
  </si>
  <si>
    <t>Parvlaev, reisi-kaubalaev (nt Tallinn-Helsingi/Stockholm)</t>
  </si>
  <si>
    <t>Rong (muud riigid, sh rahvusvaheline rong, elektriallikas pole teada)</t>
  </si>
  <si>
    <t>Rong (muud riigid, taastuvelekter)</t>
  </si>
  <si>
    <t>Rong, Eesti linnalähirong (elektrirong)</t>
  </si>
  <si>
    <t>Rong, Eesti-sisene kaugliin (diiselrong)</t>
  </si>
  <si>
    <t>Tramm, metroo (muud riigid, elektri allikas pole teada)</t>
  </si>
  <si>
    <t>Tramm, metroo (muud riigid, taastuvelekter)</t>
  </si>
  <si>
    <t>Tramm, troll (Eesti)</t>
  </si>
  <si>
    <t>Tööle-koju liikumine</t>
  </si>
  <si>
    <t>Liikumisvahend ja kütuseliik</t>
  </si>
  <si>
    <t>Elektrijalgratta tootja ja elektritõukejalgratta tootja andmed (keskmine elektritarbimine: 0,0124 kWh/km)</t>
  </si>
  <si>
    <t>Elektrijalgratas/-tõukeratas, sh sõidujagamisplatvormidelt (taastuvelekter)</t>
  </si>
  <si>
    <t>Jalgratas</t>
  </si>
  <si>
    <t>Jalgsi liikumine</t>
  </si>
  <si>
    <t>Buss, linnaliin</t>
  </si>
  <si>
    <t>Buss, maakondlik liin</t>
  </si>
  <si>
    <t>Rong, diisel- ja elektrirongide keskmine (rongitüüp pole teada)</t>
  </si>
  <si>
    <t>Rong, diiselrong</t>
  </si>
  <si>
    <t>Rong, linnalähirong (elektrirong)</t>
  </si>
  <si>
    <t>Tramm</t>
  </si>
  <si>
    <t>Troll</t>
  </si>
  <si>
    <t>Pakendimaterjalid</t>
  </si>
  <si>
    <t>Materjal</t>
  </si>
  <si>
    <t>Alumiinium</t>
  </si>
  <si>
    <t>Plastik: PP</t>
  </si>
  <si>
    <t>Plastik: PS</t>
  </si>
  <si>
    <t>Plastik: PVC</t>
  </si>
  <si>
    <t>Papp</t>
  </si>
  <si>
    <t>Kartong</t>
  </si>
  <si>
    <t>Paber</t>
  </si>
  <si>
    <t>Puit</t>
  </si>
  <si>
    <t>UK Government GHG Conversion Factors for Company Reporting 2022; sama transpordimetoodika, mis loomasöötade andmebaasis.</t>
  </si>
  <si>
    <t>Colombia</t>
  </si>
  <si>
    <t>Hiina</t>
  </si>
  <si>
    <t>Itaalia</t>
  </si>
  <si>
    <t>Montenegro</t>
  </si>
  <si>
    <t>Serbia</t>
  </si>
  <si>
    <t>Tšehi</t>
  </si>
  <si>
    <t>Ühendkuningriik</t>
  </si>
  <si>
    <t>CO2 emissioonid</t>
  </si>
  <si>
    <t>N2O emissioonid</t>
  </si>
  <si>
    <t>Mineraalväetised</t>
  </si>
  <si>
    <t>Põllule viidud N kogus</t>
  </si>
  <si>
    <t>Otsene N2O heide sisenditest</t>
  </si>
  <si>
    <t>Taimekasvatus, mõjuala 1, põllu emissioonid</t>
  </si>
  <si>
    <t>Orgaanilised väetised</t>
  </si>
  <si>
    <t>Põllule jäetavad taimsed jäänused</t>
  </si>
  <si>
    <t>Põllule jäetud N kogus</t>
  </si>
  <si>
    <t>Põllule/karjamaale jäetud N kogus</t>
  </si>
  <si>
    <t>Kaudne N2O heide N lendumisest NH3 ja NOx-na</t>
  </si>
  <si>
    <t>Uurea kasutus</t>
  </si>
  <si>
    <t>Otsene N2O heide karjatamisest</t>
  </si>
  <si>
    <t>lõppväljund</t>
  </si>
  <si>
    <t>Määrus nr 66: Looma- ja linnukasvatusest välisõhku väljutatavate saasteainete heidete mõõtmise ja arvutusliku määramise meetodid</t>
  </si>
  <si>
    <t>Loomakasvatushoone NH3</t>
  </si>
  <si>
    <t>Sõnnikuhoidla NH3</t>
  </si>
  <si>
    <t>Munakana, broiler</t>
  </si>
  <si>
    <t>Väljaheidete N</t>
  </si>
  <si>
    <t>IPCC 2019, mugandatud UN FAO juhiste järgi</t>
  </si>
  <si>
    <t>Sõnnikukäitluse NH3</t>
  </si>
  <si>
    <t>Sõnnikukäitlus otsene N2O</t>
  </si>
  <si>
    <t>Väljaheidete orgaanika</t>
  </si>
  <si>
    <t>Sõnnikukäitluse CH4</t>
  </si>
  <si>
    <t>Sõnnikukäitluse kaudne N2O</t>
  </si>
  <si>
    <t>Sõnnikukäitluse otsene N2O</t>
  </si>
  <si>
    <t>Tahesõnnik (v.a linnusõnnik)</t>
  </si>
  <si>
    <t>Sügavallapanusõnnik (v.a linnusõnnik)</t>
  </si>
  <si>
    <t>CH4 = EF (T) * N (T)</t>
  </si>
  <si>
    <t>Sõnnikukäitluse metaaniheitetegur (kg CH4 looma kohta aastas</t>
  </si>
  <si>
    <t>Linnuliik</t>
  </si>
  <si>
    <t>metaaniheited sõnnikukäitlusest (kg CH4/loom aastas)</t>
  </si>
  <si>
    <t xml:space="preserve">NA </t>
  </si>
  <si>
    <t>Taimekasvatuse otsesed heitmed, otsene N2O</t>
  </si>
  <si>
    <t>ehk sk</t>
  </si>
  <si>
    <t>Taimekasvatuse otsesed heitmed, kaudne N2O</t>
  </si>
  <si>
    <t>Heitmed turvasmuldadelt</t>
  </si>
  <si>
    <t>Heitmed lupjamisest</t>
  </si>
  <si>
    <t>Heitmed karbamiidi kasutusest</t>
  </si>
  <si>
    <t>Allokatsioonikoefitsiendid</t>
  </si>
  <si>
    <t>Üheaastased heintaimed (siloks)</t>
  </si>
  <si>
    <t>Mitmeaastased heintaimed (siloks)</t>
  </si>
  <si>
    <t>Mais (siloks)</t>
  </si>
  <si>
    <t>Haljassööt (teravili; siloks)</t>
  </si>
  <si>
    <t>Lutsern (siloks)</t>
  </si>
  <si>
    <t>Ristik (siloks)</t>
  </si>
  <si>
    <t>Muud liblikõielised silotaimed</t>
  </si>
  <si>
    <t>Püsirohumaad (uuendamise korral; siloks)</t>
  </si>
  <si>
    <t>Väetis, AN (33.5-0-0), granuleeritud - EU keskmine</t>
  </si>
  <si>
    <t>Väetis, AN (33.5-0-0), granuleeritud - CIS</t>
  </si>
  <si>
    <t>Väetis, AN (33.5-0-0), granuleeritud - Põhja-Ameerika</t>
  </si>
  <si>
    <t>Väetis, AN (33.5-0-0), granuleeritud - Ladina-Ameerika</t>
  </si>
  <si>
    <t>Väetis, AN (33.5-0-0), granuleeritud - Aafrika</t>
  </si>
  <si>
    <t>Väetis, AN (33.5-0-0), granuleeritud - Lähis-Ida</t>
  </si>
  <si>
    <t>Väetis, AN (33.5-0-0), granuleeritud - Kagu-Aasia</t>
  </si>
  <si>
    <t>Väetis, AN (33.5-0-0), granuleeritud - Lõuna-Aasia</t>
  </si>
  <si>
    <t>Väetis, AN (33.5-0-0), granuleeritud - Okeaania</t>
  </si>
  <si>
    <t>Väetis, AN (33.5-0-0), granuleeritud - Hiina keskmine</t>
  </si>
  <si>
    <t>Väetis, CAN (27-0-0), EU keskmine</t>
  </si>
  <si>
    <t>Väetis, CAN (27-0-0),  CIS</t>
  </si>
  <si>
    <t>Väetis, CAN (27-0-0), Põhja-Ameerika</t>
  </si>
  <si>
    <t>Väetis, CAN (27-0-0),  Ladina-Ameerika</t>
  </si>
  <si>
    <t>Väetis, CAN (27-0-0), Aafrika</t>
  </si>
  <si>
    <t>Väetis, CAN (27-0-0),  Lähis-Ida</t>
  </si>
  <si>
    <t>Väetis, CAN (27-0-0), Kagu-Aasia</t>
  </si>
  <si>
    <t>Väetis, CAN (27-0-0),  Lõuna-Aasia</t>
  </si>
  <si>
    <t>Väetis, CAN (27-0-0), Okeaania</t>
  </si>
  <si>
    <t>Väetis, CAN (27-0-0),  Hiina keskmine</t>
  </si>
  <si>
    <t>Väetis, Uurea (46-0-0), EU keskmine</t>
  </si>
  <si>
    <t>Väetis, Uurea (46-0-0),  CIS</t>
  </si>
  <si>
    <t>Väetis, Uurea (46-0-0), Põhja-Ameerika</t>
  </si>
  <si>
    <t>Väetis, Uurea (46-0-0), Ladina-Ameerika</t>
  </si>
  <si>
    <t>Väetis, Uurea (46-0-0), Aafrika</t>
  </si>
  <si>
    <t>Väetis, Uurea (46-0-0),  Lähis-Ida</t>
  </si>
  <si>
    <t>Väetis, Uurea (46-0-0), Kagu-Aasia</t>
  </si>
  <si>
    <t>Väetis, Uurea (46-0-0), Lõuna-Aasia</t>
  </si>
  <si>
    <t>Väetis, Uurea (46-0-0), Okeaania</t>
  </si>
  <si>
    <t>Väetis, Uurea (46-0-0), Hiina keskmine</t>
  </si>
  <si>
    <t>Väetis, UAN (30-0-0), EU keskmine</t>
  </si>
  <si>
    <t>Väetis, UAN (30-0-0),  CIS</t>
  </si>
  <si>
    <t>Väetis, UAN (30-0-0), Põhja-Ameerika</t>
  </si>
  <si>
    <t>Väetis, UAN (30-0-0), Ladina-Ameerika</t>
  </si>
  <si>
    <t>Väetis, UAN (30-0-0), Aafrika</t>
  </si>
  <si>
    <t>Väetis, UAN (30-0-0), Lähis-Ida</t>
  </si>
  <si>
    <t>Väetis, UAN (30-0-0), Kagu-Aasia</t>
  </si>
  <si>
    <t>Väetis, UAN (30-0-0), Lõuna-Aasia</t>
  </si>
  <si>
    <t>Väetis, UAN (30-0-0), Okeaania</t>
  </si>
  <si>
    <t>Väetis, UAN (30-0-0), Hiina keskmine</t>
  </si>
  <si>
    <t>Muu N-väetis (kg N)</t>
  </si>
  <si>
    <t>Rock phosphate 21%P2O5 23%SO3</t>
  </si>
  <si>
    <t>Mono ammonium phosphate (MAP) 11%N 52%P2O5</t>
  </si>
  <si>
    <t>Di-ammoonium-fosfaat (DAP) 18%N 46%P2O5</t>
  </si>
  <si>
    <t>Muriate of Potash (MOP) 60%K2O</t>
  </si>
  <si>
    <t>K2O-väetis (kg K2O)</t>
  </si>
  <si>
    <t>CaO-fertiliser (kg CaO)</t>
  </si>
  <si>
    <t>Naatrium (Na) väetis (kg Na)</t>
  </si>
  <si>
    <t>Taimekaitsevahendid</t>
  </si>
  <si>
    <t>Keskmine</t>
  </si>
  <si>
    <t>Külviseeme, sertifitseeritud seeme</t>
  </si>
  <si>
    <t>Seeme</t>
  </si>
  <si>
    <t>Sisseostetud taimne põhisööt</t>
  </si>
  <si>
    <t>Sisseostetavad tibud</t>
  </si>
  <si>
    <t>kg CO2-ekv/tibu</t>
  </si>
  <si>
    <t>Nielsen et al. 2011</t>
  </si>
  <si>
    <t>Energia, mõjuala 3 (energia ja kütuste tootmise, protsessimise ja transportimisega seotud heitmed)</t>
  </si>
  <si>
    <t>Rapsikook</t>
  </si>
  <si>
    <t>Rapsišrott</t>
  </si>
  <si>
    <t>Rapsiõli</t>
  </si>
  <si>
    <t>Sojakook</t>
  </si>
  <si>
    <t>Sojašrott</t>
  </si>
  <si>
    <t>Sojaõli</t>
  </si>
  <si>
    <t>Sveits</t>
  </si>
  <si>
    <t>Tadzikistan</t>
  </si>
  <si>
    <t>Tsehhi</t>
  </si>
  <si>
    <t>Tsiili</t>
  </si>
  <si>
    <t>Ühik: t CO2-ekv/t sööda kohta</t>
  </si>
  <si>
    <t>Tarbitud sööda kogus kuivaines (kg)</t>
  </si>
  <si>
    <r>
      <t xml:space="preserve">Siia palun lisa aastas veiste poolt tarbitud sööda kogus kuivaines kokku.
Selle leidmiseks tee järgnev tehe: </t>
    </r>
    <r>
      <rPr>
        <b/>
        <sz val="11"/>
        <color theme="1"/>
        <rFont val="Calibri"/>
        <family val="2"/>
        <scheme val="minor"/>
      </rPr>
      <t>vaatlusaluse sööda kogus (kg)*vaatlusaluse sööda kuivainesisaldus (%)/100.</t>
    </r>
    <r>
      <rPr>
        <sz val="11"/>
        <color theme="1"/>
        <rFont val="Calibri"/>
        <family val="2"/>
        <scheme val="minor"/>
      </rPr>
      <t xml:space="preserve"> Tee eraldi tehted söötade puhul, millel on erinev kuivainesisaldus, nagu näiteks teravili või silo.</t>
    </r>
    <r>
      <rPr>
        <b/>
        <sz val="11"/>
        <color theme="1"/>
        <rFont val="Calibri"/>
        <family val="2"/>
        <scheme val="minor"/>
      </rPr>
      <t xml:space="preserve"> </t>
    </r>
    <r>
      <rPr>
        <sz val="11"/>
        <color theme="1"/>
        <rFont val="Calibri"/>
        <family val="2"/>
        <scheme val="minor"/>
      </rPr>
      <t xml:space="preserve">Seejärel summeeri saadud tulemused kokku. </t>
    </r>
  </si>
  <si>
    <t>Aasta jooksul tarbitud sööda kogus (kg)</t>
  </si>
  <si>
    <t>Loomade kehamassi kasv aasta jooksul kõigi loomade peale kokku liidetuna (välja arvatud vasikate mass sündimise hetkel).</t>
  </si>
  <si>
    <t>Histidiin</t>
  </si>
  <si>
    <t>Isoleutsiin</t>
  </si>
  <si>
    <t>Leutsiin</t>
  </si>
  <si>
    <t>Kalajahu</t>
  </si>
  <si>
    <t>Loomne saadus</t>
  </si>
  <si>
    <t>Piimapulber</t>
  </si>
  <si>
    <t>Lubjakivi</t>
  </si>
  <si>
    <t>Vitamiinid</t>
  </si>
  <si>
    <t>Part, kalkun - otsesed heited</t>
  </si>
  <si>
    <t>Lambad - otsesed heited</t>
  </si>
  <si>
    <t>Munakana, broiler, siga, veis - otsesed heited</t>
  </si>
  <si>
    <r>
      <t xml:space="preserve">Palume lisada kõikide põllumassiivide peale kokkuliidetuna erinevate lõimiste pindalad. Abiks nende leidmisel võib olla Maaelu Teadmuskeskuse kaardirakendusest: 
https://metk.agri.ee/teadus-uuringud-projektid/mullastik/kaardirakendused
Sisend on tarvilik süsiniku sidumise kvantifitseerimiseks. Kui pindalasid leida võimalik ei ole või osutub selle leidmine ebamõistlikult ajamahukaks, siis palun lisada oma hinnang </t>
    </r>
    <r>
      <rPr>
        <u/>
        <sz val="11"/>
        <rFont val="Calibri"/>
        <family val="2"/>
        <scheme val="minor"/>
      </rPr>
      <t xml:space="preserve">osakaalude (%) </t>
    </r>
    <r>
      <rPr>
        <sz val="11"/>
        <rFont val="Calibri"/>
        <family val="2"/>
        <scheme val="minor"/>
      </rPr>
      <t xml:space="preserve">kohta.
Kui teil on teada (nt mullaproovidest) Corg % sisaldus, huumuskihi tüsedus ning koresus, siis korrigeerige vastavaid lahtreid oma muldade väärtustega. Kui te neid andmeid ei tea, jätke lahtritesse samad väärtused, mis ees on.
See sisend kuulub süsiniku sidumise juurde. 
</t>
    </r>
  </si>
  <si>
    <t xml:space="preserve">Siin palume rippmenüüst valida oma ettevõttele kuuluvates kuivati(te)s või muudes seadmetes kasutatud kütused, mida on kasutatud soojusenergia tootmiseks.Koguse lahtrisse lisada tarbitud kogused vastavas ühikus. </t>
  </si>
  <si>
    <t xml:space="preserve">Järgnevaid blokke on tarvis täita juhul kui tegelesite veisekasvatusega. Kuna kasvuhoonegaaside heited erinevad vanuse- ja/või toodangurühmiti, siis eristame neid ka andmesisestusel. Kuna veise, eriti lihaveisekasvatus on sageli Eestis ekstensiivne, on tarvis andmeid koguda kolme järjestikkuse aasta kohta selleks, et saada adekvaatne arusaam toote tasemel süsiniku jalajäljest. Selleks lehitse paremale ning täida samad lahtrid ka varasemate aastate kohta. </t>
  </si>
  <si>
    <t>Aastaloom on arvestuslik ühik, mis arvutatakse, jagades käsitletava loomaliigi isendi söötmispäevade summa päevade arvuga aastas. Söötmispäevaks loetakse kõik päevad, mil loom on karjas, välja arvatud tema karjast väljaviimise päev.</t>
  </si>
  <si>
    <t>Siin liida kokku kõik lihaks müüdud loomade eluskaalud. Kui eluskaalus väärtust ei tea, siis arvuta see oma kasvatatud tõul vastava tapasaagise % järgi: 
Tapakaal * (1+1-tapasaagis/100)
Tapakaal on looma tapmisjärgne lihakeha mass pärast nülgimist, veretustamist, pea, sise- ja suguelundite ning jalgade eemaldamist. Tapasaagis on tapamassi ja tapaeelse kehamassi (eluskaalu) suhe protsentides.</t>
  </si>
  <si>
    <r>
      <t xml:space="preserve">Siin palume valida  tarbitud sisseostetud elektrienergia tüübi ning markeerida tarbitud kogus ühikus </t>
    </r>
    <r>
      <rPr>
        <u/>
        <sz val="11"/>
        <color theme="1"/>
        <rFont val="Calibri"/>
        <family val="2"/>
        <scheme val="minor"/>
      </rPr>
      <t>kWh.</t>
    </r>
    <r>
      <rPr>
        <sz val="11"/>
        <color theme="1"/>
        <rFont val="Calibri"/>
        <family val="2"/>
        <scheme val="minor"/>
      </rPr>
      <t xml:space="preserve"> Palume eristada, kui on tarbitud taastuvelektrit. Isetoodetud taastuvelekter siia alla ei kuulu ning selle osas andmeid välja otsida pole ka tarvis - selle heide on 0!</t>
    </r>
  </si>
  <si>
    <r>
      <t xml:space="preserve">Siin palume ripmenüüst valida sisseostetud taimse sööda kultuur, valida rippmenüüst päritolumaa (st maa, kus sööt on </t>
    </r>
    <r>
      <rPr>
        <u/>
        <sz val="11"/>
        <color theme="1"/>
        <rFont val="Calibri"/>
        <family val="2"/>
        <scheme val="minor"/>
      </rPr>
      <t>toodetud</t>
    </r>
    <r>
      <rPr>
        <sz val="11"/>
        <color theme="1"/>
        <rFont val="Calibri"/>
        <family val="2"/>
        <scheme val="minor"/>
      </rPr>
      <t xml:space="preserve">) ning markeerida ära kogu aasta jooksul tarbitud kogus kilogrammides. Juhul kui kultuuri ja riigi kombinatsiooni täites muutub koguse lahter punaseks, siis see tähendab, et valitud kultuuri puhul pole meil valitud riigile vastavat heitetegurit. Sellisel juhul palun valige valitud riigi asemel mõni selle lähiriik.
 Juhul kui ise kasvatasite sööta, siis täita allolevaid lahtreid "Isekasvatatud sööda" bloki all. 
</t>
    </r>
  </si>
  <si>
    <r>
      <t xml:space="preserve">Siia palun lisa aastas sigade poolt tarbitud sööda kogus kuivaines kokku.
Selle leidmiseks tee järgnev tehe: </t>
    </r>
    <r>
      <rPr>
        <b/>
        <sz val="11"/>
        <color theme="1"/>
        <rFont val="Calibri"/>
        <family val="2"/>
        <scheme val="minor"/>
      </rPr>
      <t>sööda kogus (kg)*sööda kuivainesisaldus (%)/100.</t>
    </r>
    <r>
      <rPr>
        <sz val="11"/>
        <color theme="1"/>
        <rFont val="Calibri"/>
        <family val="2"/>
        <scheme val="minor"/>
      </rPr>
      <t xml:space="preserve">  Tee eraldi tehted söötade puhul, millel on erinev kuivainesisaldus, nagu näiteks teravili või silo. Seejärel summeeri saadud tulemused kokku. </t>
    </r>
  </si>
  <si>
    <r>
      <t xml:space="preserve">Siin palume valida  tarbitud sisseostetud elektrienergia tüüp ning markeerida tarbitud kogus ühikus </t>
    </r>
    <r>
      <rPr>
        <u/>
        <sz val="11"/>
        <color theme="1"/>
        <rFont val="Calibri"/>
        <family val="2"/>
        <scheme val="minor"/>
      </rPr>
      <t>kWh.</t>
    </r>
    <r>
      <rPr>
        <sz val="11"/>
        <color theme="1"/>
        <rFont val="Calibri"/>
        <family val="2"/>
        <scheme val="minor"/>
      </rPr>
      <t xml:space="preserve"> Palume eristada, kui on tarbitud taastuvelektrit. Isetoodetud taastuvelekter siia alla ei kuulu ning selle osas andmeid välja otsida pole ka tarvis - selle heide on 0!</t>
    </r>
  </si>
  <si>
    <t xml:space="preserve">Nendesse lahtritesse tuleb rippmenüüst valida aasta jooksul sõidukites ja masinates kasutatud kütused ning nende kogused. </t>
  </si>
  <si>
    <t xml:space="preserve">Juhul kui kasvatasid ise loomadele sööta, palume täita neid lahtreid siin ning samuti markeerida kogused söödakultuuri kaupa kilogrammides. Vali sobiv kultuur rippmenüüst. Palun veendu, et oled sellisel juhul täitnud taimekasvatuse alamlehte. Väärtused heitetegurite koha pealt arvutatakse selle sisendi põhjal, mis taimekasvatuse alamlehel vastava kultuuri puhul sisestanud oled. </t>
  </si>
  <si>
    <t xml:space="preserve">Juhul kui andsid loomadele sööta, mille heitetegur on teada (näiteks ostsite seda mõnelt tootjalt, kes on selle tööriistaga oma toote jalajälje teada saanud), siis täida järgnevaid lahtreid. Tarvis on markeerida nii kogus kui ka käsitsi sisestada heitetegur. </t>
  </si>
  <si>
    <t>Siit valida pidamisviis munakanadele ja noorlindudele.</t>
  </si>
  <si>
    <t>Neid lahtreid täita juhul kui linnud olid aasta jooksul vabapidamisel ning said õues liikuda.</t>
  </si>
  <si>
    <r>
      <t xml:space="preserve">Siia palun lisa aastas kanade poolt tarbitud sööda kogus kuivaines kokku.
Selle leidmiseks tee järgnev tehe: </t>
    </r>
    <r>
      <rPr>
        <b/>
        <sz val="11"/>
        <color theme="1"/>
        <rFont val="Calibri"/>
        <family val="2"/>
        <scheme val="minor"/>
      </rPr>
      <t>sööda kogus (kg)*sööda kuivainesisaldus (%)/100.</t>
    </r>
    <r>
      <rPr>
        <sz val="11"/>
        <color theme="1"/>
        <rFont val="Calibri"/>
        <family val="2"/>
        <scheme val="minor"/>
      </rPr>
      <t xml:space="preserve"> Tee eraldi tehted söötade puhul, millel on erinev kuivainesisaldus, nagu näiteks teravili või silo. Seejärel summeeri saadud tulemused kokku. </t>
    </r>
  </si>
  <si>
    <t>Aasta jooksul ostetud tibude arv</t>
  </si>
  <si>
    <t xml:space="preserve">Siin palume valida linnukasvatushoonetes lindude kasvatusel soojusenergia tootmiseks kasutatud kütused ning väärtuse lahtrisse markeerida nende kogused vastavas ühikus. </t>
  </si>
  <si>
    <t>Siin palume valida  tarbitud sisseostetud elektrienergia tüüp ning markeerida tarbitud kogus ühikus kWh. Palume eristada, kui on tarbitud taastuvelektrit. Isetoodetud taastuvelekter siia alla ei kuulu ning selle osas andmeid välja otsida pole ka tarvis - selle heide on 0!</t>
  </si>
  <si>
    <r>
      <t xml:space="preserve">Seda rida täita vaid juhul, kui linnukasvatuse veetarve tuleb ühisveevärgist. Kui on oma enda veevõtt (nt puurkaev), siis seda rida </t>
    </r>
    <r>
      <rPr>
        <u/>
        <sz val="11"/>
        <color theme="1"/>
        <rFont val="Calibri"/>
        <family val="2"/>
        <scheme val="minor"/>
      </rPr>
      <t>mitte täita</t>
    </r>
    <r>
      <rPr>
        <sz val="11"/>
        <color theme="1"/>
        <rFont val="Calibri"/>
        <family val="2"/>
        <scheme val="minor"/>
      </rPr>
      <t>.</t>
    </r>
  </si>
  <si>
    <t xml:space="preserve">Nendesse lahtritesse rippmenüüst valida aasta jooksul sõidukites ja masinates kasutatud kütused ning nende kogused. </t>
  </si>
  <si>
    <t>Nendesse lahtritesse kirjutada, missuguse % linnukasvatuse käibest moodustasid munatoodang või lihaks/elule müüdud linnud. Kui lihaks/elule linde ei müüdud, siis panna jätta munatoodangule väärtuseks 100. Nende lahtrite alusel toimub lõpuks heidete allokatsioon. Palun teha valik nii, et kolme lahtri summa moodustaks kokku 100%</t>
  </si>
  <si>
    <r>
      <t xml:space="preserve">Siin palume ripmenüüst valida sisseostetud taimse sööda kultuur, valida rippmenüüst päritolumaa (st maa, kus sööt on </t>
    </r>
    <r>
      <rPr>
        <u/>
        <sz val="11"/>
        <color theme="1"/>
        <rFont val="Calibri"/>
        <family val="2"/>
        <scheme val="minor"/>
      </rPr>
      <t>toodetud</t>
    </r>
    <r>
      <rPr>
        <sz val="11"/>
        <color theme="1"/>
        <rFont val="Calibri"/>
        <family val="2"/>
        <scheme val="minor"/>
      </rPr>
      <t>) ning markeerida ära kogu aasta jooksul tarbitud kogus kilogrammides. Juhul kui kultuuri ja riigi kombinatsiooni täites muutub koguse lahter punaseks, siis see tähendab, et valitud kultuuri puhul pole meil valitud riigile vastavat heitetegurit. Sellisel juhul palun vali valitud riigi asemel mõni selle lähiriik.
 Juhul kui ise kasvatasite sööta, siis täita allolevaid lahtreid "Isekasvatatud sööda" bloki all. 
Vajadusel saab ridu juurde lisada!</t>
    </r>
  </si>
  <si>
    <r>
      <t xml:space="preserve">Juhul kui kasvatasid ise lindudele sööta, palume täita neid lahtreid siin ning samuti markeerida kogused söödakultuuri kaupa kilogrammides. Vali sobiv kultuur rippmenüüst. Palume ka veenduda, et olete sellisel juhul </t>
    </r>
    <r>
      <rPr>
        <u/>
        <sz val="11"/>
        <color theme="1"/>
        <rFont val="Calibri"/>
        <family val="2"/>
        <scheme val="minor"/>
      </rPr>
      <t>täitnud taimekasvatuse alamlehte</t>
    </r>
    <r>
      <rPr>
        <sz val="11"/>
        <color theme="1"/>
        <rFont val="Calibri"/>
        <family val="2"/>
        <scheme val="minor"/>
      </rPr>
      <t xml:space="preserve">. Väärtused heitetegurite koha pealt arvutatakse selle sisendi põhjal, mis taimekasvatuse alamlehel vastava kultuuri puhul sisestanud oled. </t>
    </r>
  </si>
  <si>
    <t xml:space="preserve">Juhul kui andsid lindudele sööta, mille heitetegur on teada (näiteks ostsid seda mõnelt tootjalt, kes on selle tööriistaga oma toote jalajälje teada saanud), siis täida järgnevaid lahtreid. Tarvis on markeerida nii kogus kui ka käsitsi sisestada heitetegur. </t>
  </si>
  <si>
    <t>Juhul kui linnukasvatuse tarbeks kasutati pakendimaterjale, siis palume siin eristada materjalipõhiselt ning kirja panna aasta jooksul soetatud kogused tonnides. Pakendimaterjale saab valida rippmenüüst.</t>
  </si>
  <si>
    <r>
      <t xml:space="preserve">Siia palun lisa aastas broilerite poolt tarbitud sööda kogus kuivaines kokku.
Selle leidmiseks tee järgnev tehe: </t>
    </r>
    <r>
      <rPr>
        <b/>
        <sz val="11"/>
        <color theme="1"/>
        <rFont val="Calibri"/>
        <family val="2"/>
        <scheme val="minor"/>
      </rPr>
      <t>sööda kogus (kg)*sööda kuivainesisaldus (%)/100.</t>
    </r>
    <r>
      <rPr>
        <sz val="11"/>
        <color theme="1"/>
        <rFont val="Calibri"/>
        <family val="2"/>
        <scheme val="minor"/>
      </rPr>
      <t xml:space="preserve"> Selle leidmiseks tee järgnev tehe: vaatlusaluse sööda kogus (kg)*vaatlusaluse sööda kuivainesisaldus (%)/100. Tee eraldi tehted söötade puhul, millel on erinev kuivainesisaldus, nagu näiteks teravili või silo. Seejärel summeeri saadud tulemused kokku. </t>
    </r>
  </si>
  <si>
    <t>Kui eluskaalus väärtust ei tea, siis arvuta see oma kasvatatud tõule vastava tapasaagise % järgi: 
Tapakaal * (1+1-tapasaagis/100)
Tapakaal on linnu tapmisjärgne lihakeha mass neerudega, kuid pärast söödavate siseelundite ja kaela eemaldamist. Tapasaagis tapamassi ja tapaeelse kehamassi (eluskaalu) suhe protsentides.</t>
  </si>
  <si>
    <t>Kui eluskaalus väärtust ei tea, siis arvuta see oma kasvatatud tõule vastava tapasaagise % järgi: 
Tapakaal * (1+1-tapasaagis/100)
Tapakaal on linnu tapmisjärgne lihakeha mass neerudega, kuid pärast söödavate siseelundite ja kaela eemaldamist. Tapasaagis on tapamassi ja tapaeelse kehamassi (eluskaalu) suhe protsentides.</t>
  </si>
  <si>
    <t xml:space="preserve">Nendesse lahtritesse rippmenüüst loetleda ja valida aasta jooksul sõidukites ja masinates kasutatud kütused ning nende kogused. </t>
  </si>
  <si>
    <r>
      <t xml:space="preserve">Siin palume ripmenüüst valida sisseostetud taimse sööda kultuur, valida rippmenüüst päritolumaa (st maa, kus sööt on </t>
    </r>
    <r>
      <rPr>
        <u/>
        <sz val="11"/>
        <color theme="1"/>
        <rFont val="Calibri"/>
        <family val="2"/>
        <scheme val="minor"/>
      </rPr>
      <t>toodetud</t>
    </r>
    <r>
      <rPr>
        <sz val="11"/>
        <color theme="1"/>
        <rFont val="Calibri"/>
        <family val="2"/>
        <scheme val="minor"/>
      </rPr>
      <t xml:space="preserve">) ning markeerida ära kogu aasta jooksul tarbitud kogus kilogrammides. Juhul kui kultuuri ja riigi kombinatsiooni täites muutub koguse lahter punaseks, siis see tähendab, et valitud kultuuri puhul pole meil valitud riigile vastavat heitetegurit. Sellisel juhul palun vali valitud riigi asemel mõni selle lähiriik.
 Juhul kui ise kasvatasid ise sööta, siis täita allolevaid lahtreid "Isekasvatatud sööda" bloki all. </t>
    </r>
  </si>
  <si>
    <t xml:space="preserve">Juhul kui kasvatasid ise lindudele sööta, palume täita neid lahtreid siin ning samuti markeerida kogused söödakultuuri kaupa kilogrammides. Vali sobiv kultuur rippmenüüst. Palume ka veenduda, et olete sellisel juhul täitnud taimekasvatuse alamlehte. Väärtused heitetegurite koha pealt arvutatakse selle sisendi põhjal, mis taimekasvatuse alamlehel vastava kultuuri puhul sisestanud oled. </t>
  </si>
  <si>
    <t xml:space="preserve">Juhul kui andsid lindudele sööta, mille heitetegur on teada (näiteks ostsite seda mõnelt tootjalt, kes on selle tööriistaga oma toote jalajälje teada saanud), siis täida järgnevaid lahtreid. Tarvis on markeerida nii kogus kui ka käsitsi sisestada heitetegur. </t>
  </si>
  <si>
    <t xml:space="preserve">Loomade keskmise arvestuse juures võtta arvesse seda, kui karja suurus on aasta jooksul kuude lõikes muutunud (näiteks müüdud loomi ära). Keskmise leidmiseks võib iga kuu lõikes karja suuruse kokku summeerida ning seejärel jagada kuude arvuga. </t>
  </si>
  <si>
    <t xml:space="preserve">Palume rippmenüüst valida sobilik väärtuste vahemik. Kuna kasvuhoonegaaside heidete kogus sõltub temperatuurist, palume siin märkida selle temperatuurivahemiku, milles loomad keskmiselt aasta jooksul enim aega veedavad: palume võtta arvesse seda, kas loomad on enamus aastast loomakasvatushoonetes või on märkimisväärse aja näiteks õuespidamisel. </t>
  </si>
  <si>
    <t>Kui eluskaalus väärtust ei tea, siis arvuta see oma kasvatatud tõuel vastava tapasaagise % järgi: Tapakaal * (1+1-tapasaagis/100)
Tapakaal on looma tapmisjärgne lihakeha mass pärast nülgimist, veretustamist, pea, sise- ja suguelundite ning jalgade eemaldamist. Tapasaagis on tapamassi ja tapaeelse kehamassi (eluskaalu) suhe protsentides.</t>
  </si>
  <si>
    <t xml:space="preserve">Nendesse lahtritesse rippmenüüst valida aasta jooksul sõidukites ja masinates kasutatud kütuseid ning nende kogused. </t>
  </si>
  <si>
    <r>
      <t xml:space="preserve">Siin palume ripmenüüst valida sisseostetud taimse sööda kultuur, valida rippmenüüst päritolumaa (st maa, kus sööt on </t>
    </r>
    <r>
      <rPr>
        <u/>
        <sz val="11"/>
        <color theme="1"/>
        <rFont val="Calibri"/>
        <family val="2"/>
        <scheme val="minor"/>
      </rPr>
      <t>toodetud</t>
    </r>
    <r>
      <rPr>
        <sz val="11"/>
        <color theme="1"/>
        <rFont val="Calibri"/>
        <family val="2"/>
        <scheme val="minor"/>
      </rPr>
      <t>) ning markeerida ära kogu aasta jooksul tarbitud kogus kilogrammides. Juhul kui kultuuri ja riigi kombinatsiooni täites muutub koguse lahter punaseks, siis see tähendab, et valitud kultuuri puhul pole meil valitud riigile vastavat heitetegurit. Sellisel juhul palun vali valitud riigi asemel mõni selle lähiriik.
 Juhul kui ise kasvatasid sööta, siis täita allolevaid lahtreid "Isekasvatatud sööda" bloki all. 
Vajadusel saab ridu juurde lisada!</t>
    </r>
  </si>
  <si>
    <r>
      <t xml:space="preserve">Juhul kui kasvatasid ise loomadele sööta, palume täita neid lahtreid siin ning samuti markeerida kogused söödakultuuri kaupa kilogrammides. Vali sobiv kultuur rippmenüüst. Palume ka veenduda, et oled sellisel juhul </t>
    </r>
    <r>
      <rPr>
        <u/>
        <sz val="11"/>
        <color theme="1"/>
        <rFont val="Calibri"/>
        <family val="2"/>
        <scheme val="minor"/>
      </rPr>
      <t>täitnud taimekasvatuse alamlehte</t>
    </r>
    <r>
      <rPr>
        <sz val="11"/>
        <color theme="1"/>
        <rFont val="Calibri"/>
        <family val="2"/>
        <scheme val="minor"/>
      </rPr>
      <t xml:space="preserve">. Väärtused heitetegurite koha pealt  arvutatakse selle sisendi põhjal, mis taimekasvatuse alamlehel vastava kultuuri puhul sisestanud oled. </t>
    </r>
  </si>
  <si>
    <t xml:space="preserve">Juhul kui andsid loomadele sööta, mille heitetegur on teada (näiteks ostsid seda mõnelt tootjalt, kes on selle tööriistaga oma toote jalajälje teada saanud), siis täida järgnevaid lahtreid. Tarvis on markeerida nii kogus kui ka käsitsi sisestada heitetegur. </t>
  </si>
  <si>
    <t>Juhul kui loomakasvatuse tarbeks kasutati pakendimaterjale, siis palume siin eristada materjalipõhiselt ning kirja panna aasta jooksul soetatud kogused tonnides. Pakendimaterjale saab valida rippmenüüst.</t>
  </si>
  <si>
    <t>Kui eluskaalus väärtust ei tea, siis arvuta see oma kasvatatud tõule vastava tapasaagise % järgi: Tapakaal * (1+1-tapasaagis/100)
Tapakaal on linnu tapmisjärgne lihakeha mass neerudega, kuid pärast söödavate siseelundite ja kaela eemaldamist. Tapasaagis on tapamassi ja tapaeelse kehamassi (eluskaalu) suhe protsentides.</t>
  </si>
  <si>
    <r>
      <t xml:space="preserve">Juhul kui kasvatasid ise lindudele sööta, palume täita neid lahtreid siin ning samuti markeerida kogused söödakultuuri kaupa kilogrammides. Vali sobiv kultuur rippmenüüst. Palume ka veenduda, et oled sellisel juhul </t>
    </r>
    <r>
      <rPr>
        <u/>
        <sz val="11"/>
        <color theme="1"/>
        <rFont val="Calibri"/>
        <family val="2"/>
        <scheme val="minor"/>
      </rPr>
      <t>täitnud taimekasvatuse alamlehte</t>
    </r>
    <r>
      <rPr>
        <sz val="11"/>
        <color theme="1"/>
        <rFont val="Calibri"/>
        <family val="2"/>
        <scheme val="minor"/>
      </rPr>
      <t xml:space="preserve">. Väärtused heitetegurite koha pealt arvutatakse selle sisendi põhjal, mis taimekasvatuse alamlehel vastava kultuuri puhul sisestanud oled. </t>
    </r>
  </si>
  <si>
    <t xml:space="preserve">Juhul kui kasvatasid ise lindudele sööta, palume täita neid lahtreid siin ning samuti markeerida kogused söödakultuuri kaupa kilogrammides. Vali sobiv kultuur rippmenüüst. Palume ka veenduda, et oled sellisel juhul täitnud taimekasvatuse alamlehte. Väärtused heitetegurite koha pealt arvutatakse selle sisendi põhjal, mis taimekasvatuse alamlehel vastava kultuuri puhul sisestanud oled. </t>
  </si>
  <si>
    <t xml:space="preserve">Kõrvalolev tabel on selleks, et leida ettevõtte töötajate tüüpilise töönädala tööle-koju liikumise süsiniku jalajälg. Selleks iga töötaja kohta eraldi tuleb leida tema tavapäraselt kasutatav transpordivahend, kodust-tööle kilomeetrite arv (NB! mitte kaks otsa!), tüüpiline tööpäevade arv aastas. Kui töötaja töötab ettevõttes osakoormusega või ainult mõne osa ajast, siis  tööpäevade arvuga saab osakoormust arvesse võtta. 
</t>
  </si>
  <si>
    <t>Summaarne sidumine kultuuriga 
(t CO2)</t>
  </si>
  <si>
    <t>Heitetegur, kg CO2-e/l või kg toote kohta</t>
  </si>
  <si>
    <t xml:space="preserve">Vasikate mass sündimise hetkel, kokku liidetuna iga vanuse- või toodangurühma vasikate peale aastas kokku. Kui väärtust ei tea, võib arvestuslikult võtta 40 kg vasika kohta. </t>
  </si>
  <si>
    <t>Päevalilleõli</t>
  </si>
  <si>
    <r>
      <t>Päevalille</t>
    </r>
    <r>
      <rPr>
        <sz val="11"/>
        <color theme="1"/>
        <rFont val="Calibri"/>
        <family val="2"/>
        <scheme val="minor"/>
      </rPr>
      <t>š</t>
    </r>
    <r>
      <rPr>
        <sz val="9.35"/>
        <color theme="1"/>
        <rFont val="Calibri"/>
        <family val="2"/>
        <scheme val="minor"/>
      </rPr>
      <t>rott</t>
    </r>
    <r>
      <rPr>
        <sz val="11"/>
        <color theme="1"/>
        <rFont val="Calibri"/>
        <family val="2"/>
        <scheme val="minor"/>
      </rPr>
      <t>, koorimata seemnetest</t>
    </r>
  </si>
  <si>
    <r>
      <t>Päevalille</t>
    </r>
    <r>
      <rPr>
        <sz val="11"/>
        <color theme="1"/>
        <rFont val="Calibri"/>
        <family val="2"/>
        <scheme val="minor"/>
      </rPr>
      <t>š</t>
    </r>
    <r>
      <rPr>
        <sz val="9.35"/>
        <color theme="1"/>
        <rFont val="Calibri"/>
        <family val="2"/>
        <scheme val="minor"/>
      </rPr>
      <t>rott</t>
    </r>
    <r>
      <rPr>
        <sz val="11"/>
        <color theme="1"/>
        <rFont val="Calibri"/>
        <family val="2"/>
        <scheme val="minor"/>
      </rPr>
      <t>, poolkoooritud seemnetest</t>
    </r>
  </si>
  <si>
    <r>
      <t>Päevalille</t>
    </r>
    <r>
      <rPr>
        <sz val="11"/>
        <color theme="1"/>
        <rFont val="Calibri"/>
        <family val="2"/>
        <scheme val="minor"/>
      </rPr>
      <t>š</t>
    </r>
    <r>
      <rPr>
        <sz val="9.35"/>
        <color theme="1"/>
        <rFont val="Calibri"/>
        <family val="2"/>
        <scheme val="minor"/>
      </rPr>
      <t>rott</t>
    </r>
    <r>
      <rPr>
        <sz val="11"/>
        <color theme="1"/>
        <rFont val="Calibri"/>
        <family val="2"/>
        <scheme val="minor"/>
      </rPr>
      <t>, kooritud seemnetest</t>
    </r>
  </si>
  <si>
    <t>Taimne sööt</t>
  </si>
  <si>
    <r>
      <t xml:space="preserve">Kui loomad tarbisid ka muud sööta (mineraalid jne), mis ülaltoodud blokkides puudub, siis palume täita seda blokki. Siia lisada vaid need aminohapped, vitamiinid ja mineraalid, mis on </t>
    </r>
    <r>
      <rPr>
        <u/>
        <sz val="11"/>
        <color theme="1"/>
        <rFont val="Calibri"/>
        <family val="2"/>
        <scheme val="minor"/>
      </rPr>
      <t>söödale juurde lisatud</t>
    </r>
    <r>
      <rPr>
        <sz val="11"/>
        <color theme="1"/>
        <rFont val="Calibri"/>
        <family val="2"/>
        <scheme val="minor"/>
      </rPr>
      <t>. Selle info leiad näiteks söödamärgistuselt. Palume lisada loomade poolt aasta jooksul tarbitud kogused. Siia alla kuuluvad ka täissööda koosseisus olnud aminohapped ja mineraalid (juhul kui neid on söödale juurde lisatud). Päritolumaa lahter on transpordi heite arvutamiseks.</t>
    </r>
  </si>
  <si>
    <r>
      <t xml:space="preserve">Kui linnud tarbisid ka muud sööta (mineraalid jne), mis ülaltoodud blokkides puudub, siis palume täita seda blokki. Siia lisada vaid need aminohapped, vitamiinid ja mineraalid, mis on </t>
    </r>
    <r>
      <rPr>
        <u/>
        <sz val="11"/>
        <color theme="1"/>
        <rFont val="Calibri"/>
        <family val="2"/>
        <scheme val="minor"/>
      </rPr>
      <t>söödale juurde lisatud</t>
    </r>
    <r>
      <rPr>
        <sz val="11"/>
        <color theme="1"/>
        <rFont val="Calibri"/>
        <family val="2"/>
        <scheme val="minor"/>
      </rPr>
      <t>. Selle info leiad näiteks söödamärgistuselt. Palume lisada loomade poolt aasta jooksul tarbitud kogused. Siia alla kuuluvad ka täissööda koosseisus olnud aminohapped ja mineraalid (juhul kui neid on söödale juurde lisatud). Päritolumaa lahter on transpordi heite arvutamiseks.</t>
    </r>
  </si>
  <si>
    <t>Päevalilleseemned</t>
  </si>
  <si>
    <t>Külvisenorm</t>
  </si>
  <si>
    <t>Veis, vaatlusalune aasta</t>
  </si>
  <si>
    <t>Veis, 2. aasta</t>
  </si>
  <si>
    <t>Veis, 3. aasta</t>
  </si>
  <si>
    <t>Lammas, vaatlusalune aasta</t>
  </si>
  <si>
    <t>Lammas, 3. aasta</t>
  </si>
  <si>
    <t>Lammas, 2. aasta</t>
  </si>
  <si>
    <r>
      <t xml:space="preserve">Sinu ees on põllumajandusettevõtte süsiniku jalajälje hindamise tööriist. Sellega tööriistaga on Sul võimalik hinnata oma ettevõtte tegevuse süsiniku jalajälg nii ettevõtte- kui tootepõhiselt ning taimekasvatuse puhul arvutada ka oma põllumaa ja püsirohumaade süsiniku sidumine. Tööriista saavad kasutada kõik taime- ja loomakasvatusega ning segapõllumajandust viljelevad ettevõtted, sõltumata suurusest. 
Loomakasvatuse puhul saavad tööriista täita veiste (nii piima- kui lihaveiste), lammaste, sigade, munakanade, broilerite, kalkunite ja partide kasvatamisega tegelevad ettevõtted. 
Metoodikakirjelduse leiad tööriista juurde kuuluvast juhendist. 
Kuidas tööriista kasutada?
Kui tegeled taimekasvatusega, täida </t>
    </r>
    <r>
      <rPr>
        <b/>
        <sz val="11"/>
        <color theme="1"/>
        <rFont val="Calibri"/>
        <family val="2"/>
        <scheme val="minor"/>
      </rPr>
      <t xml:space="preserve">taimekasvatuse ja tugitegevuste alamlehed. 
</t>
    </r>
    <r>
      <rPr>
        <sz val="11"/>
        <color theme="1"/>
        <rFont val="Calibri"/>
        <family val="2"/>
        <scheme val="minor"/>
      </rPr>
      <t xml:space="preserve">Kui tegeled loomakasvatusega, täida </t>
    </r>
    <r>
      <rPr>
        <b/>
        <sz val="11"/>
        <color theme="1"/>
        <rFont val="Calibri"/>
        <family val="2"/>
        <scheme val="minor"/>
      </rPr>
      <t xml:space="preserve">loomakasvatuse ja tugitegevuste alamlehed. 
</t>
    </r>
    <r>
      <rPr>
        <sz val="11"/>
        <color theme="1"/>
        <rFont val="Calibri"/>
        <family val="2"/>
        <scheme val="minor"/>
      </rPr>
      <t>Kui tegeled segapõllumajandusega (</t>
    </r>
    <r>
      <rPr>
        <u/>
        <sz val="11"/>
        <color theme="1"/>
        <rFont val="Calibri"/>
        <family val="2"/>
        <scheme val="minor"/>
      </rPr>
      <t>tegeled loomakasvatusega ning toodad omale sööta ise</t>
    </r>
    <r>
      <rPr>
        <sz val="11"/>
        <color theme="1"/>
        <rFont val="Calibri"/>
        <family val="2"/>
        <scheme val="minor"/>
      </rPr>
      <t xml:space="preserve">), täida </t>
    </r>
    <r>
      <rPr>
        <b/>
        <sz val="11"/>
        <color theme="1"/>
        <rFont val="Calibri"/>
        <family val="2"/>
        <scheme val="minor"/>
      </rPr>
      <t xml:space="preserve">taimekasvatuse, loomakasvatuse ja tugitegevuste alamlehed. 
</t>
    </r>
    <r>
      <rPr>
        <sz val="11"/>
        <color theme="1"/>
        <rFont val="Calibri"/>
        <family val="2"/>
        <scheme val="minor"/>
      </rPr>
      <t xml:space="preserve">Tulemused on kuvatud </t>
    </r>
    <r>
      <rPr>
        <b/>
        <sz val="11"/>
        <color theme="1"/>
        <rFont val="Calibri"/>
        <family val="2"/>
        <scheme val="minor"/>
      </rPr>
      <t>Ettevõttepõhise ja Tootepõhise jalajälgede</t>
    </r>
    <r>
      <rPr>
        <sz val="11"/>
        <color theme="1"/>
        <rFont val="Calibri"/>
        <family val="2"/>
        <scheme val="minor"/>
      </rPr>
      <t xml:space="preserve"> alamlehtele. 
Mida veel meeles pidada?
* kommentaarid selle kohta, missuguseid andmeid on tarvis igale reale sisestada, on välja toodud oran</t>
    </r>
    <r>
      <rPr>
        <sz val="11"/>
        <color theme="1"/>
        <rFont val="Calibri"/>
        <family val="2"/>
      </rPr>
      <t>žis</t>
    </r>
    <r>
      <rPr>
        <sz val="11"/>
        <color theme="1"/>
        <rFont val="Calibri"/>
        <family val="2"/>
        <scheme val="minor"/>
      </rPr>
      <t xml:space="preserve"> kommentaaride veerus igal alamlehel; 
* </t>
    </r>
    <r>
      <rPr>
        <b/>
        <sz val="11"/>
        <color theme="1"/>
        <rFont val="Calibri"/>
        <family val="2"/>
        <scheme val="minor"/>
      </rPr>
      <t>rohelise taustaga lahtrid vajavad täitmist;</t>
    </r>
    <r>
      <rPr>
        <sz val="11"/>
        <color theme="1"/>
        <rFont val="Calibri"/>
        <family val="2"/>
        <scheme val="minor"/>
      </rPr>
      <t xml:space="preserve">
*kui Sinu sisestatavad andmed on komakohaga, siis pane hoolikalt tähele, et </t>
    </r>
    <r>
      <rPr>
        <b/>
        <sz val="11"/>
        <color theme="1"/>
        <rFont val="Calibri"/>
        <family val="2"/>
        <scheme val="minor"/>
      </rPr>
      <t>koma oleks markeeritud komamärgiga</t>
    </r>
    <r>
      <rPr>
        <sz val="11"/>
        <color theme="1"/>
        <rFont val="Calibri"/>
        <family val="2"/>
        <scheme val="minor"/>
      </rPr>
      <t xml:space="preserve"> (","), mitte punktiga;
*lahtritesse sisestada vaid numbrilisi väärtuseid või valida sobiv väärtus rippmenüüst (kui on võimalik). Sõnaliste väärtuste või muude sümbolite lisamisega tööriist ei toimi;
*tööriista täitmine on üsna andmemahukas. Seega lae tööriistafail endale arvutisse alla ning igal hetkel võid täidetud faili salvestada ning hiljem täitmise juurde naasta; 
*Andmeid palun koguda ühe aasta kohta. Soovituslik on täita ühe kalendriaasta kohta; veise- ja lambakasvatuse puhul palume täita kolme järjestikuse aasta kohta.
*</t>
    </r>
    <r>
      <rPr>
        <b/>
        <sz val="11"/>
        <color theme="1"/>
        <rFont val="Calibri"/>
        <family val="2"/>
        <scheme val="minor"/>
      </rPr>
      <t>täitmisel pööra kindlasti tähelepanu ühikutele!!</t>
    </r>
  </si>
  <si>
    <t>Toorpiima keskmine lämmastikusisaldus arvutatakse automaatselt proteiinisisalduse põhjal</t>
  </si>
  <si>
    <t>Haritavate maade pindala kokku (cropland)</t>
  </si>
  <si>
    <t>Püsirohumaade pindala kokku</t>
  </si>
  <si>
    <t>KHG inventuuri aruanne 2025, kütteväärtus 11,9 MJ/kg</t>
  </si>
  <si>
    <t>KHG inventuuri aruanne 2025, katlad 1-50MW</t>
  </si>
  <si>
    <t>KHG inventuuri aruanne 2025, katlad 1-50MW, 2024. a maagaasi keskmine alumine kütteväärtus ca 35,12 MJ/m3 (Elering: https://elering.ee/vorgugaasi-kvaliteet)</t>
  </si>
  <si>
    <t>KHG inventuuri aruanne 2025</t>
  </si>
  <si>
    <t>KHG inventuuri aruanne 2025, kütteväärtus ~35,69 MJ/l</t>
  </si>
  <si>
    <t>KHG inventuuri aruanne 2025, kütteväärtus 42,5 MJ/kg</t>
  </si>
  <si>
    <t>KHG inventuuri aruanne 2025, kütteväärtus 42,3 MJ/kg</t>
  </si>
  <si>
    <t>KHG inventuuri aruanne 2025, kütteväärtus 39,22 MJ/kg</t>
  </si>
  <si>
    <t>KHG inventuuri aruanne 2025, kütteväärtus 40,15 MJ/kg</t>
  </si>
  <si>
    <t>KHG inventuuri aruanne 2025, kütteväärtus keskmiselt 11,9 MJ/kg</t>
  </si>
  <si>
    <t>KHG inventuuri aruanne 2025, 2024. a maagaasi keskmine alumine kütteväärtus ca 35,12 MJ/m3 (Elering: https://elering.ee/vorgugaasi-kvaliteet)</t>
  </si>
  <si>
    <t>Elering 2024. Elektrienergia segajäägi eriheide 2023</t>
  </si>
  <si>
    <t>KHG inventuuri aruanne 2025, arvestuslik katla kasutegur 80%</t>
  </si>
  <si>
    <t>KHG inventuuri aruanne 2025, arvestuslik katla kasutegur 90%</t>
  </si>
  <si>
    <t>KHG inventuuri aruanne 2025, kütteväärtus ~31,91 MJ/l</t>
  </si>
  <si>
    <t>KHG inventuuri aruanne 2025, kütteväärtus ~31,82 MJ/l</t>
  </si>
  <si>
    <t>raskeveok</t>
  </si>
  <si>
    <t>Kasutatud on KHG inventuuri aruande 2025 bio-CNG sõiduauto eriheitetegurit, kuna KHG inventuuris kaubikut ei eristata, kütteväärtus 49MJ/kg</t>
  </si>
  <si>
    <t>KHG inventuuri aruanne 2025, kütteväärtus 49MJ/kg</t>
  </si>
  <si>
    <t>Kasutatud on KHG inventuuri aruande 2025 CNG-sõiduauto eriheitetegurit, kuna KHG inventuuris kaubikut ei eristata, kütteväärtus 49MJ/kg</t>
  </si>
  <si>
    <t>KHG inventuuri aruanne 2025, kütteväärtus 45.5 MJ/kg</t>
  </si>
  <si>
    <t>Kasutatud on KHG inventuuri aruande 2025 LPG-sõidukite eriheitetegurit, kuna inventuuris sõidukitüüpe ei eristata, kütteväärtus 45.5 MJ/kg</t>
  </si>
  <si>
    <t>HFE-347mcf2</t>
  </si>
  <si>
    <t>CHF2CH2OCF2CF3</t>
  </si>
  <si>
    <t>HFE-356mec3</t>
  </si>
  <si>
    <t>CH3OCF2CHFCF3</t>
  </si>
  <si>
    <t>HFE-356pcf2</t>
  </si>
  <si>
    <t>CHF2CH2OCF2CHF2</t>
  </si>
  <si>
    <t>PFC-31-10 (perflourobutaan)  </t>
  </si>
  <si>
    <t>PFC-41-12 (perfluoropentaan)  </t>
  </si>
  <si>
    <t>PFC-51-14 (perfluoroheksaan)  </t>
  </si>
  <si>
    <t>PFC-91-18 (perfluorodekaliin)  </t>
  </si>
  <si>
    <t>R-4112</t>
  </si>
  <si>
    <t>Osalise koormaga</t>
  </si>
  <si>
    <t>KHG inventuuri aruanne 2025, arvestatud 75% fossiilne kütus, 25% taastuvelekter</t>
  </si>
  <si>
    <t>KHG inventuuri aruanne 2025, arvestatud 75% fossiilne kütus, 25% tavaelekter, Electric Vehicle Database (keskmine elektritarbimine: 0,2 kWh/km)</t>
  </si>
  <si>
    <t>Arvutatud keskmise kütusetarbimise ja FAME eriheiteteguri (KHG inventuuri aruanne 2025) põhjal</t>
  </si>
  <si>
    <t>Arvutatud keskmise kütusetarbimise ja HVO eriheiteteguri (UK GHG Conversion Factors 2021) põhjal</t>
  </si>
  <si>
    <t>Bussiteenuse pakkujad, Statistikaamet, KHG inventuuri aruanne 2025 (diiselbussi eriheitetegur)</t>
  </si>
  <si>
    <t>Arvutatud Tallinna linnaliinibusside (diisel- ja gaasibusside keskmine) andmete põhjal (AS TLT)</t>
  </si>
  <si>
    <t>AS Elron, KHG inventuuri aruanne 2025 (rongidiisli eriheitetegur)</t>
  </si>
  <si>
    <t>Arvutatud eeldusel, et keskmise sõiduauto gaasitarbimine on 0,057 kg/km ning kasutades sõiduauto bio-CNG eriheitetegurit kg kohta</t>
  </si>
  <si>
    <t>Keskmistatud sõiduautode keskmine</t>
  </si>
  <si>
    <t>Bensiini- ja diiselmootoriga sõiduautode keskmine</t>
  </si>
  <si>
    <t>Bensiinimootoriga sõiduautode keskmine</t>
  </si>
  <si>
    <t>Diiselmootoriga sõiduautode keskmine</t>
  </si>
  <si>
    <t>Hübriidmootoriga sõiduautode keskmine</t>
  </si>
  <si>
    <t>Arvutatud AS Elroni andmete põhjal</t>
  </si>
  <si>
    <t xml:space="preserve">Järgnevaid ridu täita vaid juhul, kui ettevõttes on olemas kontoripind, töökoda või garaaž ning nende tarbimine on muust ettevõtte tegevusest eristatav. Kui kontorit, töökoda või garaaži eraldi ettevõttes ei ole, jätka realt 43. </t>
  </si>
  <si>
    <t>Versioon</t>
  </si>
  <si>
    <t>Muudatuse kirjeldus</t>
  </si>
  <si>
    <t>Muudatuse tüüp</t>
  </si>
  <si>
    <t>V1.1</t>
  </si>
  <si>
    <t>V1.2</t>
  </si>
  <si>
    <t>Muudeti veiste ja sigade soolesisese käärimise (seedemetaani) heite arvutust. Süsiniku jalajälje arvutamisel ei ole oluline, kas seedemetaani heide leiab aset hoones või karjamaal. Muudatus puudutab ainult neid veise- ja sigade kasvatajaid, kes loomi karjatavad.</t>
  </si>
  <si>
    <t xml:space="preserve">Sisseostetud sööda rippmenüüs on eelmise versiooniga võrreldes valik suurem. Varasemas versioonis ei võtnud tööriist toote jalajälje arvutuses arvesse "Muud söödad" alla sisestatud tooteid ning isekasvatatud haljaskultuurid ei kajastunud tootepõhise jalajälje tulemustes isetoodetud söötade real. </t>
  </si>
  <si>
    <t>V1.3</t>
  </si>
  <si>
    <t>Lehel "Ettevõttepõhine jalajälg" muudeti süsiniku sidumise või kao tulemuse kuvamist selliselt, et sidumine kuvatakse miinusmärgiga tulemusena ja süsiniku kadu positiivse numbrina (sarnaselt KHG heitele ehk muudele tulemustele sellel lehel). Selleks lisati sel lehel tulemuse kuvamise valemitesse miinusmärk.</t>
  </si>
  <si>
    <t>Muudeti tootepõhise jalajälje arvutust selliselt, et turvamuldadel haritavate pindade heide läheb arvesse põllukultuuride ja haljaskultuuride jalajäljes ning kuivendatud turvasmullaga püsirohumaa pindade heide on kajastatud püsirohumaa heina jalajäljes. Enne jagas valem lehel "Tootep_kalk" rida 27 kogu turvasmuldade heite ära kõikide kultuuride hektarite vahel võrdselt.</t>
  </si>
  <si>
    <t>Piima N-sisalduse lahtrisse sisestati valem, mis arvutab automaatselt piima proteiinisisalduse põhjal välja piima N-sisalduse. Siis  ei pea tööriista kasutaja seda näitajat ise eraldi välja arvutama.</t>
  </si>
  <si>
    <t xml:space="preserve">Parandati viga rohumaadele karjatamisega jääva lämmastiku otsese N2O heite arvutamise valemis. </t>
  </si>
  <si>
    <t>Parandati muude söötade mõju arvutamise valemit nii et see arvutaks kokku ka kahe esimese sööda mõju.</t>
  </si>
  <si>
    <t>Munade toote jalajäljes parandati majandusliku allokatsiooni valem. Mõju tuleb esmalt korrutada munade majandusliku väärtuse osakaaluga ja seejärel jagada muna kilogrammidega.</t>
  </si>
  <si>
    <t>Töölesõitude mõju arvutusest eemaldati nädalate arv aastas (valemi viimane komponent 46,8), sest tööriistas on sisestatud info põhjal juba eelnevalt välja arvutatud tööpäevade arv aastas. Nädalatega läbikorrutamine viis vale tulemuseni.</t>
  </si>
  <si>
    <t>Parandati rongide eriheitetegurid.</t>
  </si>
  <si>
    <t>Uuendati kõik eriheitetegurid, mis on pärit Kliimaministeeriumi "Organisatsiooni kasvuhoonegaaside arvutusmudelist" 2025 versiooni kohaselt.</t>
  </si>
  <si>
    <t>Avaldamise kuupäev</t>
  </si>
  <si>
    <t>Metoodiline täiendus</t>
  </si>
  <si>
    <t>Süsiniku jalajälje tööriistas tehtud muudatused</t>
  </si>
  <si>
    <r>
      <t xml:space="preserve">Minimeeritud harimine või otsekülv </t>
    </r>
    <r>
      <rPr>
        <sz val="11"/>
        <color rgb="FFFF0000"/>
        <rFont val="Calibri"/>
        <family val="2"/>
        <scheme val="minor"/>
      </rPr>
      <t>(märkige kindlasti kõikidel kultuuridel "jah"/"ei", sh püsirohumaadel)</t>
    </r>
  </si>
  <si>
    <t>Kas vaatlusaluse kultuuri puhul on praktiseeritud minimeeritud harimist või otsekülvi? Vali rippmenüüst sobiv vastus.</t>
  </si>
  <si>
    <t>Põllult eemaldatava põhu/heina osakaal kultuuri kohta</t>
  </si>
  <si>
    <t>Tehniline täiendus</t>
  </si>
  <si>
    <t>Lehel "Taimekasvatus" rida 24 (ABC24, E24) muudeti terminit (vähendatud harimine -&gt; minimeeritud harimine).</t>
  </si>
  <si>
    <t>Parandati broilerikasvatuse ettevõttepõhise süsiniku jalajälje hindamisel sõnnikuhoidlast väljuva metaani eriheitetegurit ja lämmastiku lendumist dilämmastikoksiidina.</t>
  </si>
  <si>
    <t xml:space="preserve">Taimekasvatuse lehel eemaldati lõimiste tabelist vaikimisi väärtus "liiv, 1 ha". </t>
  </si>
  <si>
    <t>Peideti taimekasvatuse lehel read 28 ja 29. Põhjuseks on see, et järgnev kultuur, mis küntakse sisse järgmisel aastal, ei saa eelmise kultuuri jalajälge (võimaliku süsiniku sidumise tõttu mulda) vähendada.</t>
  </si>
  <si>
    <t xml:space="preserve">Parandati söötade transpordi heite ühik lehel "Efid" C432 kuni C501 (tonnkilomeeter -&gt; tonn). </t>
  </si>
  <si>
    <t>Energia ja kütused, mõjuala 1 ja mõjuala 2</t>
  </si>
  <si>
    <t>Sõidukikütuse liik ja ühik</t>
  </si>
  <si>
    <t>M1 - Kütuse-/energialiik</t>
  </si>
  <si>
    <t>M1 - Sõidukikütuse liik ja ühik</t>
  </si>
  <si>
    <t>Vesi ja reovee käitlus</t>
  </si>
  <si>
    <r>
      <t xml:space="preserve">Palun anda hinnang, mitmel % vaatlusaluse põllukultuuriga haritavast maast eemaldatakse põhk põllult. </t>
    </r>
    <r>
      <rPr>
        <sz val="11"/>
        <color rgb="FFFF0000"/>
        <rFont val="Calibri"/>
        <family val="2"/>
        <scheme val="minor"/>
      </rPr>
      <t>Rohumaade, sh püsirohumaade puhul tuleb samuti märkida, mitmel % vastavast rohumaast eemaldatakse hein põllult.</t>
    </r>
    <r>
      <rPr>
        <sz val="11"/>
        <color theme="1"/>
        <rFont val="Calibri"/>
        <family val="2"/>
        <scheme val="minor"/>
      </rPr>
      <t xml:space="preserve"> Rippmenüüst valida vastav vahemik. 0 viitab 0%, 1 viitab 100%-le. </t>
    </r>
  </si>
  <si>
    <t>Lehel "Taimekasvatus" rida 23 (ABC23, E23) täpsustati selgitust põhu/heina  eemaldamise kohta põllult. Ka rohumaade puhul tuleb sellel real märkida põllult eemaldatava heina osakaal.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</si>
</sst>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0.00000"/>
    <numFmt numFmtId="165" formatCode="0.000"/>
    <numFmt numFmtId="166" formatCode="0.0"/>
    <numFmt numFmtId="167" formatCode="0.0000"/>
    <numFmt numFmtId="168" formatCode="_-&quot;$&quot;* #,##0_-;\-&quot;$&quot;* #,##0_-;_-&quot;$&quot;* &quot;-&quot;_-;_-@_-"/>
    <numFmt numFmtId="169" formatCode="_-&quot;$&quot;* #,##0.00_-;\-&quot;$&quot;* #,##0.00_-;_-&quot;$&quot;* &quot;-&quot;??_-;_-@_-"/>
    <numFmt numFmtId="170" formatCode="0.00_)"/>
  </numFmts>
  <fonts count="135">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name val="Calibri"/>
      <family val="2"/>
    </font>
    <font>
      <sz val="11"/>
      <color rgb="FF006100"/>
      <name val="Calibri"/>
      <family val="2"/>
      <scheme val="minor"/>
    </font>
    <font>
      <sz val="11"/>
      <color rgb="FF9C5700"/>
      <name val="Calibri"/>
      <family val="2"/>
      <scheme val="minor"/>
    </font>
    <font>
      <b/>
      <sz val="11"/>
      <color rgb="FFFA7D00"/>
      <name val="Calibri"/>
      <family val="2"/>
      <scheme val="minor"/>
    </font>
    <font>
      <sz val="11"/>
      <color theme="1"/>
      <name val="Calibri"/>
      <family val="2"/>
      <scheme val="minor"/>
    </font>
    <font>
      <sz val="8"/>
      <color theme="1"/>
      <name val="Inherit"/>
    </font>
    <font>
      <sz val="11"/>
      <name val="Cambria"/>
      <family val="1"/>
    </font>
    <font>
      <sz val="11"/>
      <color theme="1"/>
      <name val="Cambria"/>
      <family val="1"/>
    </font>
    <font>
      <sz val="11"/>
      <color rgb="FF000000"/>
      <name val="Calibri"/>
      <family val="2"/>
    </font>
    <font>
      <sz val="11"/>
      <color rgb="FF000000"/>
      <name val="Cambria"/>
      <family val="1"/>
    </font>
    <font>
      <b/>
      <sz val="11"/>
      <color theme="1"/>
      <name val="Calibri"/>
      <family val="2"/>
    </font>
    <font>
      <b/>
      <sz val="11"/>
      <name val="Calibri"/>
      <family val="2"/>
      <scheme val="minor"/>
    </font>
    <font>
      <b/>
      <sz val="10"/>
      <name val="Verdana"/>
      <family val="2"/>
    </font>
    <font>
      <b/>
      <sz val="11"/>
      <color rgb="FFFF0000"/>
      <name val="Calibri"/>
      <family val="2"/>
      <scheme val="minor"/>
    </font>
    <font>
      <b/>
      <sz val="8"/>
      <color rgb="FF000000"/>
      <name val="Calibri"/>
      <family val="2"/>
      <scheme val="minor"/>
    </font>
    <font>
      <sz val="8"/>
      <color rgb="FF000000"/>
      <name val="Calibri"/>
      <family val="2"/>
      <scheme val="minor"/>
    </font>
    <font>
      <sz val="8"/>
      <color theme="1"/>
      <name val="Calibri"/>
      <family val="2"/>
      <scheme val="minor"/>
    </font>
    <font>
      <sz val="8"/>
      <color rgb="FF000000"/>
      <name val="Calibri"/>
      <family val="2"/>
    </font>
    <font>
      <b/>
      <sz val="8"/>
      <color rgb="FF000000"/>
      <name val="Calibri"/>
      <family val="2"/>
    </font>
    <font>
      <b/>
      <sz val="8"/>
      <name val="Calibri"/>
      <family val="2"/>
      <scheme val="minor"/>
    </font>
    <font>
      <b/>
      <sz val="14"/>
      <color rgb="FF000000"/>
      <name val="Calibri"/>
      <family val="2"/>
    </font>
    <font>
      <i/>
      <sz val="10"/>
      <color rgb="FF000000"/>
      <name val="Segoe UI"/>
      <family val="2"/>
    </font>
    <font>
      <sz val="18"/>
      <color theme="3"/>
      <name val="Calibri Light"/>
      <family val="2"/>
      <scheme val="major"/>
    </font>
    <font>
      <b/>
      <sz val="15"/>
      <color theme="3"/>
      <name val="Calibri"/>
      <family val="2"/>
      <scheme val="minor"/>
    </font>
    <font>
      <sz val="11"/>
      <color rgb="FF3F3F76"/>
      <name val="Calibri"/>
      <family val="2"/>
      <scheme val="minor"/>
    </font>
    <font>
      <b/>
      <sz val="16"/>
      <color rgb="FF000000"/>
      <name val="Arial"/>
      <family val="2"/>
    </font>
    <font>
      <b/>
      <sz val="11"/>
      <color rgb="FF000000"/>
      <name val="Calibri"/>
      <family val="2"/>
      <scheme val="minor"/>
    </font>
    <font>
      <b/>
      <sz val="20"/>
      <color theme="1"/>
      <name val="Arial"/>
      <family val="2"/>
    </font>
    <font>
      <b/>
      <sz val="20"/>
      <color theme="0" tint="-0.499984740745262"/>
      <name val="Arial"/>
      <family val="2"/>
    </font>
    <font>
      <sz val="20"/>
      <color theme="1"/>
      <name val="Arial"/>
      <family val="2"/>
    </font>
    <font>
      <sz val="20"/>
      <color theme="0" tint="-0.499984740745262"/>
      <name val="Arial"/>
      <family val="2"/>
    </font>
    <font>
      <sz val="16"/>
      <color theme="1"/>
      <name val="Arial"/>
      <family val="2"/>
    </font>
    <font>
      <b/>
      <sz val="18"/>
      <color theme="1"/>
      <name val="Arial"/>
      <family val="2"/>
    </font>
    <font>
      <sz val="18"/>
      <color theme="1"/>
      <name val="Arial"/>
      <family val="2"/>
    </font>
    <font>
      <b/>
      <sz val="16"/>
      <color theme="1"/>
      <name val="Arial"/>
      <family val="2"/>
    </font>
    <font>
      <b/>
      <sz val="14"/>
      <color theme="1"/>
      <name val="Arial"/>
      <family val="2"/>
    </font>
    <font>
      <sz val="14"/>
      <color theme="1"/>
      <name val="Arial"/>
      <family val="2"/>
    </font>
    <font>
      <b/>
      <sz val="18"/>
      <color rgb="FFFF0000"/>
      <name val="Arial"/>
      <family val="2"/>
    </font>
    <font>
      <sz val="18"/>
      <color theme="1"/>
      <name val="Calibri"/>
      <family val="2"/>
      <scheme val="minor"/>
    </font>
    <font>
      <sz val="12"/>
      <color theme="1"/>
      <name val="Arial"/>
      <family val="2"/>
    </font>
    <font>
      <sz val="12"/>
      <color rgb="FF000000"/>
      <name val="Calibri"/>
      <family val="2"/>
      <scheme val="minor"/>
    </font>
    <font>
      <sz val="14"/>
      <color rgb="FF92D050"/>
      <name val="Arial"/>
      <family val="2"/>
    </font>
    <font>
      <sz val="14"/>
      <color theme="9" tint="-0.249977111117893"/>
      <name val="Arial"/>
      <family val="2"/>
    </font>
    <font>
      <sz val="14"/>
      <color rgb="FF0070C0"/>
      <name val="Arial"/>
      <family val="2"/>
    </font>
    <font>
      <sz val="14"/>
      <color rgb="FFC00000"/>
      <name val="Arial"/>
      <family val="2"/>
    </font>
    <font>
      <sz val="14"/>
      <color theme="7"/>
      <name val="Arial"/>
      <family val="2"/>
    </font>
    <font>
      <sz val="14"/>
      <color theme="4"/>
      <name val="Arial"/>
      <family val="2"/>
    </font>
    <font>
      <sz val="14"/>
      <color theme="5" tint="0.59999389629810485"/>
      <name val="Arial"/>
      <family val="2"/>
    </font>
    <font>
      <sz val="14"/>
      <color rgb="FFC0C105"/>
      <name val="Arial"/>
      <family val="2"/>
    </font>
    <font>
      <sz val="14"/>
      <color theme="5" tint="-0.249977111117893"/>
      <name val="Arial"/>
      <family val="2"/>
    </font>
    <font>
      <sz val="12"/>
      <color rgb="FFFF0000"/>
      <name val="Calibri"/>
      <family val="2"/>
      <scheme val="minor"/>
    </font>
    <font>
      <b/>
      <sz val="14"/>
      <color theme="0" tint="-0.14999847407452621"/>
      <name val="Arial"/>
      <family val="2"/>
    </font>
    <font>
      <sz val="14"/>
      <color theme="0" tint="-0.14999847407452621"/>
      <name val="Arial"/>
      <family val="2"/>
    </font>
    <font>
      <sz val="14"/>
      <color theme="1"/>
      <name val="Calibri"/>
      <family val="2"/>
      <scheme val="minor"/>
    </font>
    <font>
      <sz val="14"/>
      <color rgb="FFFF0000"/>
      <name val="Arial"/>
      <family val="2"/>
    </font>
    <font>
      <i/>
      <sz val="14"/>
      <color theme="1"/>
      <name val="Arial"/>
      <family val="2"/>
    </font>
    <font>
      <sz val="14"/>
      <name val="Arial"/>
      <family val="2"/>
    </font>
    <font>
      <b/>
      <sz val="12"/>
      <color theme="1"/>
      <name val="Calibri"/>
      <family val="1"/>
      <scheme val="minor"/>
    </font>
    <font>
      <sz val="11"/>
      <color theme="4" tint="-0.249977111117893"/>
      <name val="Calibri"/>
      <family val="2"/>
      <scheme val="minor"/>
    </font>
    <font>
      <b/>
      <sz val="18"/>
      <color theme="3"/>
      <name val="Calibri Light"/>
      <family val="2"/>
      <scheme val="major"/>
    </font>
    <font>
      <b/>
      <sz val="16"/>
      <color theme="3"/>
      <name val="Calibri"/>
      <family val="2"/>
      <scheme val="minor"/>
    </font>
    <font>
      <b/>
      <sz val="11"/>
      <color rgb="FF006100"/>
      <name val="Calibri"/>
      <family val="2"/>
      <scheme val="minor"/>
    </font>
    <font>
      <sz val="12"/>
      <color theme="1"/>
      <name val="Calibri"/>
      <family val="2"/>
      <scheme val="minor"/>
    </font>
    <font>
      <b/>
      <sz val="14"/>
      <color theme="1"/>
      <name val="Calibri"/>
      <family val="2"/>
      <scheme val="minor"/>
    </font>
    <font>
      <b/>
      <sz val="12"/>
      <name val="Calibri"/>
      <family val="2"/>
      <scheme val="minor"/>
    </font>
    <font>
      <sz val="12"/>
      <name val="Calibri"/>
      <family val="2"/>
      <scheme val="minor"/>
    </font>
    <font>
      <sz val="12"/>
      <color rgb="FF006100"/>
      <name val="Calibri"/>
      <family val="2"/>
      <scheme val="minor"/>
    </font>
    <font>
      <b/>
      <sz val="12"/>
      <color rgb="FF006100"/>
      <name val="Calibri"/>
      <family val="2"/>
      <scheme val="minor"/>
    </font>
    <font>
      <sz val="12"/>
      <color rgb="FF000000"/>
      <name val="Calibri"/>
      <family val="2"/>
    </font>
    <font>
      <b/>
      <sz val="12"/>
      <name val="Verdana"/>
      <family val="2"/>
    </font>
    <font>
      <u/>
      <sz val="11"/>
      <color theme="1"/>
      <name val="Calibri"/>
      <family val="2"/>
      <scheme val="minor"/>
    </font>
    <font>
      <b/>
      <sz val="8"/>
      <color theme="1"/>
      <name val="Calibri"/>
      <family val="2"/>
      <scheme val="minor"/>
    </font>
    <font>
      <sz val="10"/>
      <color theme="1"/>
      <name val="Calibri"/>
      <family val="2"/>
      <scheme val="minor"/>
    </font>
    <font>
      <b/>
      <sz val="10"/>
      <color theme="1"/>
      <name val="Calibri"/>
      <family val="2"/>
      <scheme val="minor"/>
    </font>
    <font>
      <b/>
      <sz val="18"/>
      <color theme="1"/>
      <name val="Calibri"/>
      <family val="2"/>
      <scheme val="minor"/>
    </font>
    <font>
      <sz val="7"/>
      <color rgb="FFFFFFFF"/>
      <name val="Courier New"/>
      <family val="3"/>
    </font>
    <font>
      <sz val="11"/>
      <color rgb="FF000000"/>
      <name val="Calibri"/>
      <family val="2"/>
      <scheme val="minor"/>
    </font>
    <font>
      <sz val="11"/>
      <color theme="6" tint="-0.249977111117893"/>
      <name val="Calibri"/>
      <family val="2"/>
      <scheme val="minor"/>
    </font>
    <font>
      <sz val="14"/>
      <color rgb="FF1C1917"/>
      <name val="Segoe UI"/>
      <family val="2"/>
    </font>
    <font>
      <sz val="18"/>
      <name val="Arial"/>
      <family val="2"/>
    </font>
    <font>
      <b/>
      <sz val="16"/>
      <color theme="1"/>
      <name val="Calibri"/>
      <family val="2"/>
      <scheme val="minor"/>
    </font>
    <font>
      <b/>
      <u/>
      <sz val="11"/>
      <color theme="10"/>
      <name val="Calibri"/>
      <family val="2"/>
      <scheme val="minor"/>
    </font>
    <font>
      <sz val="9"/>
      <color theme="4" tint="-0.249977111117893"/>
      <name val="Segoe UI"/>
      <family val="2"/>
    </font>
    <font>
      <b/>
      <sz val="9"/>
      <color theme="4" tint="-0.249977111117893"/>
      <name val="Segoe UI"/>
      <family val="2"/>
    </font>
    <font>
      <b/>
      <u/>
      <sz val="11"/>
      <color theme="1"/>
      <name val="Calibri"/>
      <family val="2"/>
      <scheme val="minor"/>
    </font>
    <font>
      <b/>
      <sz val="18"/>
      <color theme="4"/>
      <name val="Calibri"/>
      <family val="2"/>
      <scheme val="minor"/>
    </font>
    <font>
      <b/>
      <sz val="12"/>
      <color theme="1"/>
      <name val="Calibri"/>
      <family val="2"/>
      <scheme val="minor"/>
    </font>
    <font>
      <b/>
      <sz val="10"/>
      <name val="Calibri"/>
      <family val="2"/>
      <scheme val="minor"/>
    </font>
    <font>
      <b/>
      <u/>
      <sz val="16"/>
      <color theme="10"/>
      <name val="Calibri"/>
      <family val="2"/>
      <scheme val="minor"/>
    </font>
    <font>
      <b/>
      <sz val="12"/>
      <color theme="1"/>
      <name val="Verdana"/>
      <family val="2"/>
    </font>
    <font>
      <b/>
      <sz val="14"/>
      <name val="Calibri"/>
      <family val="2"/>
      <scheme val="minor"/>
    </font>
    <font>
      <b/>
      <sz val="9"/>
      <color theme="1"/>
      <name val="Calibri"/>
      <family val="2"/>
      <scheme val="minor"/>
    </font>
    <font>
      <sz val="11"/>
      <color theme="1"/>
      <name val="Calibri"/>
      <family val="2"/>
    </font>
    <font>
      <sz val="10"/>
      <name val="Calibri"/>
      <family val="2"/>
      <scheme val="minor"/>
    </font>
    <font>
      <b/>
      <sz val="18"/>
      <name val="Calibri Light"/>
      <family val="2"/>
      <scheme val="major"/>
    </font>
    <font>
      <u/>
      <sz val="11"/>
      <name val="Calibri"/>
      <family val="2"/>
      <scheme val="minor"/>
    </font>
    <font>
      <sz val="11"/>
      <color theme="0"/>
      <name val="Calibri"/>
      <family val="2"/>
      <scheme val="minor"/>
    </font>
    <font>
      <b/>
      <sz val="15"/>
      <name val="Calibri"/>
      <family val="2"/>
      <scheme val="minor"/>
    </font>
    <font>
      <b/>
      <sz val="9.35"/>
      <color theme="1"/>
      <name val="Calibri"/>
      <family val="2"/>
    </font>
    <font>
      <b/>
      <u/>
      <sz val="14"/>
      <color theme="10"/>
      <name val="Calibri"/>
      <family val="2"/>
      <scheme val="minor"/>
    </font>
    <font>
      <b/>
      <sz val="10"/>
      <color theme="0"/>
      <name val="Calibri"/>
      <family val="2"/>
      <scheme val="minor"/>
    </font>
    <font>
      <b/>
      <sz val="11"/>
      <color theme="0"/>
      <name val="Calibri"/>
      <family val="2"/>
      <scheme val="minor"/>
    </font>
    <font>
      <sz val="8"/>
      <name val="Calibri"/>
      <family val="2"/>
      <scheme val="minor"/>
    </font>
    <font>
      <sz val="9"/>
      <color rgb="FF333333"/>
      <name val="ThemixRegular"/>
    </font>
    <font>
      <i/>
      <sz val="11"/>
      <name val="Calibri"/>
      <family val="2"/>
      <scheme val="minor"/>
    </font>
    <font>
      <b/>
      <sz val="9"/>
      <name val="Segoe UI"/>
      <family val="2"/>
    </font>
    <font>
      <sz val="8.8000000000000007"/>
      <color theme="1"/>
      <name val="Calibri"/>
      <family val="2"/>
    </font>
    <font>
      <b/>
      <sz val="13"/>
      <color theme="3"/>
      <name val="Calibri"/>
      <family val="2"/>
      <charset val="186"/>
      <scheme val="minor"/>
    </font>
    <font>
      <sz val="11"/>
      <color rgb="FF9C0006"/>
      <name val="Calibri"/>
      <family val="2"/>
      <scheme val="minor"/>
    </font>
    <font>
      <sz val="10"/>
      <name val="Verdana"/>
      <family val="2"/>
    </font>
    <font>
      <sz val="10"/>
      <name val="Arial"/>
      <family val="2"/>
    </font>
    <font>
      <u/>
      <sz val="10"/>
      <color indexed="12"/>
      <name val="Verdana"/>
      <family val="2"/>
    </font>
    <font>
      <sz val="10"/>
      <color theme="1"/>
      <name val="Arial"/>
      <family val="2"/>
    </font>
    <font>
      <u/>
      <sz val="11"/>
      <color indexed="12"/>
      <name val="Calibri"/>
      <family val="2"/>
    </font>
    <font>
      <sz val="10"/>
      <color theme="9" tint="-0.499984740745262"/>
      <name val="Arial"/>
      <family val="2"/>
    </font>
    <font>
      <i/>
      <sz val="10"/>
      <color rgb="FFFF0000"/>
      <name val="Arial"/>
      <family val="2"/>
    </font>
    <font>
      <u/>
      <sz val="10"/>
      <color theme="11"/>
      <name val="Arial"/>
      <family val="2"/>
    </font>
    <font>
      <b/>
      <sz val="10"/>
      <color theme="0"/>
      <name val="Arial"/>
      <family val="2"/>
    </font>
    <font>
      <sz val="8"/>
      <name val="Arial"/>
      <family val="2"/>
    </font>
    <font>
      <b/>
      <i/>
      <sz val="16"/>
      <name val="Helv"/>
    </font>
    <font>
      <b/>
      <sz val="15"/>
      <color theme="3"/>
      <name val="Calibri"/>
      <family val="2"/>
      <charset val="186"/>
      <scheme val="minor"/>
    </font>
    <font>
      <sz val="11"/>
      <color rgb="FF3F3F76"/>
      <name val="Calibri"/>
      <family val="2"/>
      <charset val="186"/>
      <scheme val="minor"/>
    </font>
    <font>
      <b/>
      <sz val="20"/>
      <color theme="1"/>
      <name val="Arial"/>
      <family val="2"/>
    </font>
    <font>
      <sz val="20"/>
      <color theme="1" tint="0.499984740745262"/>
      <name val="Calibri"/>
      <family val="2"/>
      <scheme val="minor"/>
    </font>
    <font>
      <sz val="20"/>
      <color theme="1"/>
      <name val="Arial"/>
      <family val="2"/>
    </font>
    <font>
      <b/>
      <sz val="18"/>
      <color rgb="FF000000"/>
      <name val="Arial"/>
      <family val="2"/>
    </font>
    <font>
      <b/>
      <sz val="14"/>
      <color rgb="FF000000"/>
      <name val="Arial"/>
      <family val="2"/>
    </font>
    <font>
      <b/>
      <sz val="16"/>
      <name val="Calibri"/>
      <family val="2"/>
      <scheme val="minor"/>
    </font>
    <font>
      <sz val="9.35"/>
      <color theme="1"/>
      <name val="Calibri"/>
      <family val="2"/>
      <scheme val="minor"/>
    </font>
    <font>
      <sz val="12"/>
      <color theme="1"/>
      <name val="Aptos"/>
      <family val="2"/>
    </font>
  </fonts>
  <fills count="89">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2F2F2"/>
      </patternFill>
    </fill>
    <fill>
      <patternFill patternType="solid">
        <fgColor rgb="FFFFFF00"/>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E1FFF6"/>
        <bgColor indexed="64"/>
      </patternFill>
    </fill>
    <fill>
      <patternFill patternType="solid">
        <fgColor rgb="FFFFCCFF"/>
        <bgColor indexed="64"/>
      </patternFill>
    </fill>
    <fill>
      <patternFill patternType="solid">
        <fgColor rgb="FFF0F5FF"/>
      </patternFill>
    </fill>
    <fill>
      <patternFill patternType="solid">
        <fgColor theme="6" tint="0.79998168889431442"/>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C99"/>
      </patternFill>
    </fill>
    <fill>
      <patternFill patternType="solid">
        <fgColor theme="4" tint="0.79998168889431442"/>
        <bgColor theme="4" tint="0.79998168889431442"/>
      </patternFill>
    </fill>
    <fill>
      <patternFill patternType="solid">
        <fgColor theme="3" tint="0.79998168889431442"/>
        <bgColor indexed="64"/>
      </patternFill>
    </fill>
    <fill>
      <patternFill patternType="solid">
        <fgColor rgb="FFE6E3DB"/>
        <bgColor rgb="FF000000"/>
      </patternFill>
    </fill>
    <fill>
      <patternFill patternType="solid">
        <fgColor rgb="FFCCC8B7"/>
        <bgColor rgb="FF000000"/>
      </patternFill>
    </fill>
    <fill>
      <patternFill patternType="solid">
        <fgColor rgb="FFA76112"/>
        <bgColor rgb="FF000000"/>
      </patternFill>
    </fill>
    <fill>
      <patternFill patternType="solid">
        <fgColor theme="2" tint="-0.249977111117893"/>
        <bgColor indexed="64"/>
      </patternFill>
    </fill>
    <fill>
      <patternFill patternType="solid">
        <fgColor theme="3" tint="0.59999389629810485"/>
        <bgColor indexed="64"/>
      </patternFill>
    </fill>
    <fill>
      <patternFill patternType="solid">
        <fgColor theme="5" tint="-0.249977111117893"/>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EEEEB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rgb="FF7030A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theme="4" tint="0.79998168889431442"/>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FFC7CE"/>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indexed="22"/>
        <bgColor indexed="64"/>
      </patternFill>
    </fill>
    <fill>
      <patternFill patternType="solid">
        <fgColor rgb="FFCC99FF"/>
        <bgColor indexed="64"/>
      </patternFill>
    </fill>
    <fill>
      <patternFill patternType="solid">
        <fgColor theme="7" tint="0.39997558519241921"/>
        <bgColor rgb="FF000000"/>
      </patternFill>
    </fill>
    <fill>
      <patternFill patternType="solid">
        <fgColor rgb="FFFFFF99"/>
        <bgColor indexed="64"/>
      </patternFill>
    </fill>
    <fill>
      <patternFill patternType="solid">
        <fgColor rgb="FFFFFF99"/>
        <bgColor rgb="FF000000"/>
      </patternFill>
    </fill>
    <fill>
      <patternFill patternType="solid">
        <fgColor rgb="FF002060"/>
        <bgColor indexed="64"/>
      </patternFill>
    </fill>
    <fill>
      <patternFill patternType="solid">
        <fgColor theme="4" tint="0.79998168889431442"/>
        <bgColor rgb="FF000000"/>
      </patternFill>
    </fill>
    <fill>
      <patternFill patternType="solid">
        <fgColor indexed="26"/>
        <bgColor indexed="64"/>
      </patternFill>
    </fill>
    <fill>
      <patternFill patternType="solid">
        <fgColor rgb="FF008080"/>
        <bgColor indexed="64"/>
      </patternFill>
    </fill>
    <fill>
      <patternFill patternType="solid">
        <fgColor rgb="FFFFFFFF"/>
      </patternFill>
    </fill>
    <fill>
      <patternFill patternType="solid">
        <fgColor rgb="FFEBD8B2"/>
        <bgColor indexed="64"/>
      </patternFill>
    </fill>
    <fill>
      <patternFill patternType="solid">
        <fgColor rgb="FFEFB370"/>
        <bgColor indexed="64"/>
      </patternFill>
    </fill>
    <fill>
      <patternFill patternType="solid">
        <fgColor rgb="FFFFD5A6"/>
        <bgColor indexed="64"/>
      </patternFill>
    </fill>
    <fill>
      <patternFill patternType="solid">
        <fgColor theme="2" tint="-0.749992370372631"/>
        <bgColor indexed="64"/>
      </patternFill>
    </fill>
  </fills>
  <borders count="1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B2B2B2"/>
      </left>
      <right/>
      <top/>
      <bottom style="thin">
        <color rgb="FFB2B2B2"/>
      </bottom>
      <diagonal/>
    </border>
    <border>
      <left style="thin">
        <color rgb="FFB2B2B2"/>
      </left>
      <right/>
      <top style="thin">
        <color rgb="FFB2B2B2"/>
      </top>
      <bottom style="thin">
        <color rgb="FFB2B2B2"/>
      </bottom>
      <diagonal/>
    </border>
    <border>
      <left style="thin">
        <color rgb="FFB2B2B2"/>
      </left>
      <right style="thin">
        <color rgb="FFB2B2B2"/>
      </right>
      <top/>
      <bottom style="thin">
        <color rgb="FFB2B2B2"/>
      </bottom>
      <diagonal/>
    </border>
    <border>
      <left/>
      <right/>
      <top style="thin">
        <color rgb="FFB2B2B2"/>
      </top>
      <bottom style="thin">
        <color rgb="FFB2B2B2"/>
      </bottom>
      <diagonal/>
    </border>
    <border>
      <left style="thin">
        <color rgb="FFDADCDD"/>
      </left>
      <right style="thin">
        <color rgb="FFDADCDD"/>
      </right>
      <top style="thin">
        <color rgb="FFDADCDD"/>
      </top>
      <bottom style="thin">
        <color rgb="FFDADCD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medium">
        <color indexed="64"/>
      </left>
      <right style="thin">
        <color rgb="FF7F7F7F"/>
      </right>
      <top style="medium">
        <color indexed="64"/>
      </top>
      <bottom style="thin">
        <color rgb="FF7F7F7F"/>
      </bottom>
      <diagonal/>
    </border>
    <border>
      <left style="thin">
        <color rgb="FF7F7F7F"/>
      </left>
      <right style="medium">
        <color indexed="64"/>
      </right>
      <top style="thin">
        <color rgb="FF7F7F7F"/>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rgb="FF7F7F7F"/>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rgb="FF7F7F7F"/>
      </right>
      <top style="medium">
        <color indexed="64"/>
      </top>
      <bottom style="thin">
        <color rgb="FF7F7F7F"/>
      </bottom>
      <diagonal/>
    </border>
    <border>
      <left/>
      <right style="thin">
        <color indexed="64"/>
      </right>
      <top style="medium">
        <color indexed="64"/>
      </top>
      <bottom/>
      <diagonal/>
    </border>
    <border>
      <left/>
      <right style="thin">
        <color indexed="64"/>
      </right>
      <top/>
      <bottom style="medium">
        <color indexed="64"/>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left>
      <right style="medium">
        <color theme="0"/>
      </right>
      <top style="medium">
        <color theme="0"/>
      </top>
      <bottom style="medium">
        <color theme="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right style="medium">
        <color rgb="FF000000"/>
      </right>
      <top style="medium">
        <color indexed="64"/>
      </top>
      <bottom/>
      <diagonal/>
    </border>
    <border>
      <left style="medium">
        <color indexed="64"/>
      </left>
      <right/>
      <top/>
      <bottom style="medium">
        <color rgb="FF000000"/>
      </bottom>
      <diagonal/>
    </border>
    <border>
      <left style="medium">
        <color indexed="64"/>
      </left>
      <right/>
      <top style="medium">
        <color rgb="FF000000"/>
      </top>
      <bottom/>
      <diagonal/>
    </border>
    <border>
      <left/>
      <right style="medium">
        <color indexed="64"/>
      </right>
      <top/>
      <bottom style="medium">
        <color rgb="FF000000"/>
      </bottom>
      <diagonal/>
    </border>
    <border>
      <left style="medium">
        <color indexed="64"/>
      </left>
      <right style="medium">
        <color indexed="64"/>
      </right>
      <top/>
      <bottom style="medium">
        <color rgb="FF000000"/>
      </bottom>
      <diagonal/>
    </border>
    <border>
      <left style="thin">
        <color rgb="FF000000"/>
      </left>
      <right/>
      <top/>
      <bottom/>
      <diagonal/>
    </border>
    <border>
      <left/>
      <right style="thin">
        <color rgb="FF000000"/>
      </right>
      <top style="medium">
        <color indexed="64"/>
      </top>
      <bottom/>
      <diagonal/>
    </border>
    <border>
      <left/>
      <right style="thin">
        <color rgb="FF000000"/>
      </right>
      <top/>
      <bottom/>
      <diagonal/>
    </border>
    <border>
      <left/>
      <right style="thin">
        <color rgb="FF000000"/>
      </right>
      <top/>
      <bottom style="medium">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s>
  <cellStyleXfs count="141">
    <xf numFmtId="0" fontId="0" fillId="0" borderId="0"/>
    <xf numFmtId="0" fontId="3" fillId="0" borderId="0" applyNumberFormat="0" applyFill="0" applyBorder="0" applyAlignment="0" applyProtection="0"/>
    <xf numFmtId="0" fontId="6" fillId="7" borderId="0" applyNumberFormat="0" applyBorder="0" applyAlignment="0" applyProtection="0"/>
    <xf numFmtId="0" fontId="7" fillId="8" borderId="0" applyNumberFormat="0" applyBorder="0" applyAlignment="0" applyProtection="0"/>
    <xf numFmtId="0" fontId="8" fillId="9" borderId="21" applyNumberFormat="0" applyAlignment="0" applyProtection="0"/>
    <xf numFmtId="9" fontId="9" fillId="0" borderId="0" applyFont="0" applyFill="0" applyBorder="0" applyAlignment="0" applyProtection="0"/>
    <xf numFmtId="0" fontId="13" fillId="15" borderId="27"/>
    <xf numFmtId="0" fontId="27" fillId="0" borderId="0" applyNumberFormat="0" applyFill="0" applyBorder="0" applyAlignment="0" applyProtection="0"/>
    <xf numFmtId="0" fontId="28" fillId="0" borderId="33" applyNumberFormat="0" applyFill="0" applyAlignment="0" applyProtection="0"/>
    <xf numFmtId="0" fontId="29" fillId="22" borderId="21" applyNumberFormat="0" applyAlignment="0" applyProtection="0"/>
    <xf numFmtId="0" fontId="81" fillId="0" borderId="0"/>
    <xf numFmtId="0" fontId="3" fillId="0" borderId="0" applyNumberFormat="0" applyFill="0" applyBorder="0" applyAlignment="0" applyProtection="0"/>
    <xf numFmtId="9" fontId="9" fillId="0" borderId="0" applyFont="0" applyFill="0" applyBorder="0" applyAlignment="0" applyProtection="0"/>
    <xf numFmtId="0" fontId="113" fillId="47" borderId="0" applyNumberFormat="0" applyBorder="0" applyAlignment="0" applyProtection="0"/>
    <xf numFmtId="0" fontId="106" fillId="48" borderId="91" applyNumberFormat="0" applyAlignment="0" applyProtection="0"/>
    <xf numFmtId="0" fontId="101" fillId="50" borderId="0" applyNumberFormat="0" applyBorder="0" applyAlignment="0" applyProtection="0"/>
    <xf numFmtId="0" fontId="9" fillId="51"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101" fillId="54" borderId="0" applyNumberFormat="0" applyBorder="0" applyAlignment="0" applyProtection="0"/>
    <xf numFmtId="0" fontId="9" fillId="55"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101" fillId="58"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9" fillId="61" borderId="0" applyNumberFormat="0" applyBorder="0" applyAlignment="0" applyProtection="0"/>
    <xf numFmtId="0" fontId="101" fillId="62"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9" fillId="65" borderId="0" applyNumberFormat="0" applyBorder="0" applyAlignment="0" applyProtection="0"/>
    <xf numFmtId="0" fontId="101" fillId="66" borderId="0" applyNumberFormat="0" applyBorder="0" applyAlignment="0" applyProtection="0"/>
    <xf numFmtId="0" fontId="9" fillId="67" borderId="0" applyNumberFormat="0" applyBorder="0" applyAlignment="0" applyProtection="0"/>
    <xf numFmtId="0" fontId="9" fillId="68" borderId="0" applyNumberFormat="0" applyBorder="0" applyAlignment="0" applyProtection="0"/>
    <xf numFmtId="0" fontId="9" fillId="69" borderId="0" applyNumberFormat="0" applyBorder="0" applyAlignment="0" applyProtection="0"/>
    <xf numFmtId="0" fontId="101" fillId="70" borderId="0" applyNumberFormat="0" applyBorder="0" applyAlignment="0" applyProtection="0"/>
    <xf numFmtId="0" fontId="9" fillId="71" borderId="0" applyNumberFormat="0" applyBorder="0" applyAlignment="0" applyProtection="0"/>
    <xf numFmtId="0" fontId="9" fillId="72" borderId="0" applyNumberFormat="0" applyBorder="0" applyAlignment="0" applyProtection="0"/>
    <xf numFmtId="0" fontId="9" fillId="73" borderId="0" applyNumberFormat="0" applyBorder="0" applyAlignment="0" applyProtection="0"/>
    <xf numFmtId="0" fontId="114" fillId="0" borderId="0"/>
    <xf numFmtId="43" fontId="114" fillId="0" borderId="0" applyFont="0" applyFill="0" applyBorder="0" applyAlignment="0" applyProtection="0"/>
    <xf numFmtId="0" fontId="116" fillId="0" borderId="0" applyNumberFormat="0" applyFill="0" applyBorder="0" applyAlignment="0" applyProtection="0">
      <alignment vertical="top"/>
      <protection locked="0"/>
    </xf>
    <xf numFmtId="0" fontId="117" fillId="0" borderId="0"/>
    <xf numFmtId="0" fontId="115" fillId="76" borderId="92" applyNumberFormat="0" applyAlignment="0" applyProtection="0"/>
    <xf numFmtId="0" fontId="119" fillId="77" borderId="93" applyNumberFormat="0" applyProtection="0">
      <alignment vertical="center"/>
    </xf>
    <xf numFmtId="43" fontId="117" fillId="0" borderId="0" applyFon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18" fillId="0" borderId="0" applyNumberFormat="0" applyFill="0" applyBorder="0" applyAlignment="0" applyProtection="0">
      <alignment vertical="top"/>
      <protection locked="0"/>
    </xf>
    <xf numFmtId="0" fontId="115" fillId="78" borderId="21" applyNumberFormat="0" applyBorder="0" applyAlignment="0" applyProtection="0"/>
    <xf numFmtId="0" fontId="115" fillId="79" borderId="0">
      <alignment vertical="center"/>
    </xf>
    <xf numFmtId="0" fontId="115" fillId="41" borderId="94" applyNumberFormat="0" applyAlignment="0" applyProtection="0"/>
    <xf numFmtId="0" fontId="117" fillId="49" borderId="22" applyNumberFormat="0" applyFont="0" applyAlignment="0" applyProtection="0"/>
    <xf numFmtId="0" fontId="122" fillId="80" borderId="95" applyNumberFormat="0" applyAlignment="0" applyProtection="0"/>
    <xf numFmtId="0" fontId="4" fillId="81" borderId="22" applyNumberFormat="0" applyProtection="0">
      <alignment vertical="center"/>
    </xf>
    <xf numFmtId="0" fontId="122" fillId="74" borderId="0" applyNumberFormat="0" applyBorder="0" applyAlignment="0" applyProtection="0"/>
    <xf numFmtId="0" fontId="115" fillId="0" borderId="0"/>
    <xf numFmtId="43" fontId="115" fillId="0" borderId="0" applyFont="0" applyFill="0" applyBorder="0" applyAlignment="0" applyProtection="0"/>
    <xf numFmtId="38" fontId="123" fillId="75" borderId="0" applyNumberFormat="0" applyBorder="0" applyAlignment="0" applyProtection="0"/>
    <xf numFmtId="10" fontId="123" fillId="82" borderId="28" applyNumberFormat="0" applyBorder="0" applyAlignment="0" applyProtection="0"/>
    <xf numFmtId="170" fontId="124" fillId="0" borderId="0"/>
    <xf numFmtId="9" fontId="115" fillId="0" borderId="0" applyFont="0" applyFill="0" applyBorder="0" applyAlignment="0" applyProtection="0"/>
    <xf numFmtId="10" fontId="115" fillId="0" borderId="0" applyFont="0" applyFill="0" applyBorder="0" applyAlignment="0" applyProtection="0"/>
    <xf numFmtId="41" fontId="115" fillId="0" borderId="0" applyFont="0" applyFill="0" applyBorder="0" applyAlignment="0" applyProtection="0"/>
    <xf numFmtId="43" fontId="115" fillId="0" borderId="0" applyFont="0" applyFill="0" applyBorder="0" applyAlignment="0" applyProtection="0"/>
    <xf numFmtId="168" fontId="115" fillId="0" borderId="0" applyFont="0" applyFill="0" applyBorder="0" applyAlignment="0" applyProtection="0"/>
    <xf numFmtId="169" fontId="115" fillId="0" borderId="0" applyFont="0" applyFill="0" applyBorder="0" applyAlignment="0" applyProtection="0"/>
    <xf numFmtId="0" fontId="115" fillId="0" borderId="0"/>
    <xf numFmtId="9" fontId="115" fillId="0" borderId="0" applyFont="0" applyFill="0" applyBorder="0" applyAlignment="0" applyProtection="0"/>
    <xf numFmtId="0" fontId="115" fillId="0" borderId="0"/>
    <xf numFmtId="9" fontId="115" fillId="0" borderId="0" applyFont="0" applyFill="0" applyBorder="0" applyAlignment="0" applyProtection="0"/>
    <xf numFmtId="0" fontId="117" fillId="0" borderId="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7" fillId="0" borderId="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7" fillId="0" borderId="0"/>
    <xf numFmtId="0" fontId="117" fillId="0" borderId="0"/>
    <xf numFmtId="0" fontId="115" fillId="78" borderId="21" applyNumberFormat="0" applyBorder="0" applyAlignment="0" applyProtection="0"/>
    <xf numFmtId="0" fontId="115" fillId="78" borderId="21" applyNumberFormat="0" applyBorder="0" applyAlignment="0" applyProtection="0"/>
    <xf numFmtId="0" fontId="117" fillId="0" borderId="0"/>
    <xf numFmtId="0" fontId="115" fillId="78" borderId="21" applyNumberFormat="0" applyBorder="0" applyAlignment="0" applyProtection="0"/>
    <xf numFmtId="0" fontId="117" fillId="0" borderId="0"/>
    <xf numFmtId="0" fontId="115" fillId="78" borderId="21" applyNumberFormat="0" applyBorder="0" applyAlignment="0" applyProtection="0"/>
    <xf numFmtId="0" fontId="117" fillId="0" borderId="0"/>
    <xf numFmtId="0" fontId="115" fillId="78" borderId="21" applyNumberFormat="0" applyBorder="0" applyAlignment="0" applyProtection="0"/>
    <xf numFmtId="0" fontId="115" fillId="78" borderId="21" applyNumberFormat="0" applyBorder="0" applyAlignment="0" applyProtection="0"/>
    <xf numFmtId="0" fontId="117" fillId="0" borderId="0"/>
    <xf numFmtId="0" fontId="117" fillId="0" borderId="0"/>
    <xf numFmtId="0" fontId="115" fillId="78" borderId="21" applyNumberFormat="0" applyBorder="0" applyAlignment="0" applyProtection="0"/>
    <xf numFmtId="0" fontId="117" fillId="0" borderId="0"/>
    <xf numFmtId="0" fontId="117" fillId="0" borderId="0"/>
    <xf numFmtId="0" fontId="117" fillId="0" borderId="0"/>
    <xf numFmtId="0" fontId="117" fillId="0" borderId="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5" fillId="78" borderId="21" applyNumberFormat="0" applyBorder="0" applyAlignment="0" applyProtection="0"/>
    <xf numFmtId="0" fontId="117" fillId="0" borderId="0"/>
    <xf numFmtId="0" fontId="115" fillId="78" borderId="21" applyNumberFormat="0" applyBorder="0" applyAlignment="0" applyProtection="0"/>
    <xf numFmtId="0" fontId="115" fillId="78" borderId="21" applyNumberFormat="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06" fillId="83" borderId="96">
      <alignment horizontal="left" vertical="top" wrapText="1" indent="1"/>
    </xf>
    <xf numFmtId="0" fontId="117" fillId="0" borderId="0"/>
    <xf numFmtId="0" fontId="115" fillId="78" borderId="21" applyNumberFormat="0" applyBorder="0" applyAlignment="0" applyProtection="0"/>
    <xf numFmtId="0" fontId="115" fillId="0" borderId="0"/>
    <xf numFmtId="9" fontId="115" fillId="0" borderId="0" applyFont="0" applyFill="0" applyBorder="0" applyAlignment="0" applyProtection="0"/>
    <xf numFmtId="0" fontId="125" fillId="0" borderId="33" applyNumberFormat="0" applyFill="0" applyProtection="0">
      <alignment vertical="center"/>
    </xf>
    <xf numFmtId="0" fontId="112" fillId="0" borderId="90" applyNumberFormat="0" applyFill="0" applyBorder="0" applyAlignment="0" applyProtection="0"/>
    <xf numFmtId="0" fontId="126" fillId="5" borderId="21" applyNumberFormat="0" applyAlignment="0" applyProtection="0"/>
    <xf numFmtId="0" fontId="112" fillId="0" borderId="0">
      <alignment vertical="center"/>
    </xf>
    <xf numFmtId="0" fontId="13" fillId="84" borderId="27"/>
    <xf numFmtId="43" fontId="114" fillId="0" borderId="0" applyFont="0" applyFill="0" applyBorder="0" applyAlignment="0" applyProtection="0"/>
    <xf numFmtId="43" fontId="117" fillId="0" borderId="0" applyFont="0" applyFill="0" applyBorder="0" applyAlignment="0" applyProtection="0"/>
    <xf numFmtId="43" fontId="115" fillId="0" borderId="0" applyFont="0" applyFill="0" applyBorder="0" applyAlignment="0" applyProtection="0"/>
    <xf numFmtId="0" fontId="67" fillId="0" borderId="0"/>
  </cellStyleXfs>
  <cellXfs count="1435">
    <xf numFmtId="0" fontId="0" fillId="0" borderId="0" xfId="0"/>
    <xf numFmtId="0" fontId="2" fillId="0" borderId="0" xfId="0" applyFont="1"/>
    <xf numFmtId="0" fontId="0" fillId="0" borderId="1" xfId="0" applyBorder="1"/>
    <xf numFmtId="0" fontId="0" fillId="0" borderId="2" xfId="0" applyBorder="1"/>
    <xf numFmtId="0" fontId="0" fillId="2" borderId="3" xfId="0" applyFill="1" applyBorder="1"/>
    <xf numFmtId="0" fontId="0" fillId="2" borderId="0" xfId="0" applyFill="1"/>
    <xf numFmtId="0" fontId="0" fillId="0" borderId="3" xfId="0" applyBorder="1"/>
    <xf numFmtId="0" fontId="0" fillId="0" borderId="4" xfId="0" applyBorder="1"/>
    <xf numFmtId="0" fontId="0" fillId="0" borderId="5" xfId="0" applyBorder="1"/>
    <xf numFmtId="0" fontId="0" fillId="0" borderId="6" xfId="0" applyBorder="1"/>
    <xf numFmtId="0" fontId="0" fillId="2" borderId="7" xfId="0" applyFill="1" applyBorder="1"/>
    <xf numFmtId="0" fontId="0" fillId="0" borderId="7" xfId="0" applyBorder="1"/>
    <xf numFmtId="0" fontId="0" fillId="2" borderId="4" xfId="0" applyFill="1" applyBorder="1"/>
    <xf numFmtId="0" fontId="0" fillId="2" borderId="5" xfId="0" applyFill="1" applyBorder="1"/>
    <xf numFmtId="0" fontId="0" fillId="2" borderId="8" xfId="0" applyFill="1" applyBorder="1"/>
    <xf numFmtId="0" fontId="0" fillId="0" borderId="9" xfId="0" applyBorder="1"/>
    <xf numFmtId="0" fontId="0" fillId="0" borderId="10" xfId="0" applyBorder="1"/>
    <xf numFmtId="0" fontId="0" fillId="0" borderId="11" xfId="0" applyBorder="1"/>
    <xf numFmtId="0" fontId="0" fillId="2" borderId="12" xfId="0" applyFill="1" applyBorder="1"/>
    <xf numFmtId="0" fontId="0" fillId="2" borderId="13" xfId="0" applyFill="1" applyBorder="1"/>
    <xf numFmtId="0" fontId="0" fillId="0" borderId="12" xfId="0" applyBorder="1"/>
    <xf numFmtId="0" fontId="0" fillId="0" borderId="13" xfId="0" applyBorder="1"/>
    <xf numFmtId="0" fontId="0" fillId="2" borderId="14" xfId="0" applyFill="1" applyBorder="1"/>
    <xf numFmtId="0" fontId="0" fillId="2" borderId="15" xfId="0" applyFill="1" applyBorder="1"/>
    <xf numFmtId="0" fontId="0" fillId="2" borderId="16" xfId="0" applyFill="1" applyBorder="1"/>
    <xf numFmtId="0" fontId="0" fillId="0" borderId="17" xfId="0" applyBorder="1"/>
    <xf numFmtId="0" fontId="0" fillId="3" borderId="0" xfId="0" applyFill="1"/>
    <xf numFmtId="0" fontId="0" fillId="4" borderId="0" xfId="0" applyFill="1"/>
    <xf numFmtId="0" fontId="0" fillId="5" borderId="0" xfId="0" applyFill="1"/>
    <xf numFmtId="0" fontId="0" fillId="6" borderId="0" xfId="0" applyFill="1"/>
    <xf numFmtId="0" fontId="2" fillId="5" borderId="12" xfId="0" applyFont="1" applyFill="1" applyBorder="1"/>
    <xf numFmtId="0" fontId="4" fillId="0" borderId="0" xfId="0" applyFont="1"/>
    <xf numFmtId="0" fontId="1" fillId="0" borderId="12" xfId="0" applyFont="1" applyBorder="1"/>
    <xf numFmtId="0" fontId="1" fillId="0" borderId="0" xfId="0" applyFont="1"/>
    <xf numFmtId="0" fontId="2" fillId="5" borderId="14" xfId="0" applyFont="1" applyFill="1" applyBorder="1"/>
    <xf numFmtId="0" fontId="0" fillId="5" borderId="15" xfId="0" applyFill="1" applyBorder="1"/>
    <xf numFmtId="0" fontId="0" fillId="0" borderId="15" xfId="0" applyBorder="1"/>
    <xf numFmtId="0" fontId="0" fillId="0" borderId="16" xfId="0" applyBorder="1"/>
    <xf numFmtId="0" fontId="0" fillId="5" borderId="1" xfId="0" applyFill="1" applyBorder="1"/>
    <xf numFmtId="0" fontId="0" fillId="5" borderId="2" xfId="0" applyFill="1" applyBorder="1"/>
    <xf numFmtId="0" fontId="3" fillId="0" borderId="3" xfId="1" applyBorder="1"/>
    <xf numFmtId="0" fontId="0" fillId="0" borderId="8" xfId="0" applyBorder="1"/>
    <xf numFmtId="0" fontId="8" fillId="9" borderId="21" xfId="4"/>
    <xf numFmtId="0" fontId="4" fillId="5" borderId="12" xfId="0" applyFont="1" applyFill="1" applyBorder="1"/>
    <xf numFmtId="0" fontId="4" fillId="5" borderId="0" xfId="0" applyFont="1" applyFill="1"/>
    <xf numFmtId="0" fontId="0" fillId="5" borderId="14" xfId="0" applyFill="1" applyBorder="1"/>
    <xf numFmtId="0" fontId="0" fillId="0" borderId="0" xfId="0" quotePrefix="1"/>
    <xf numFmtId="0" fontId="1" fillId="0" borderId="3" xfId="0" applyFont="1" applyBorder="1"/>
    <xf numFmtId="0" fontId="1" fillId="0" borderId="4" xfId="0" applyFont="1" applyBorder="1"/>
    <xf numFmtId="0" fontId="1" fillId="0" borderId="5" xfId="0" applyFont="1" applyBorder="1"/>
    <xf numFmtId="0" fontId="3" fillId="0" borderId="3" xfId="1" applyFill="1" applyBorder="1"/>
    <xf numFmtId="0" fontId="3" fillId="0" borderId="0" xfId="1"/>
    <xf numFmtId="0" fontId="0" fillId="2" borderId="18" xfId="0" applyFill="1" applyBorder="1"/>
    <xf numFmtId="0" fontId="0" fillId="0" borderId="20" xfId="0" applyBorder="1"/>
    <xf numFmtId="0" fontId="0" fillId="0" borderId="19" xfId="0" applyBorder="1"/>
    <xf numFmtId="0" fontId="0" fillId="5" borderId="9" xfId="0" applyFill="1" applyBorder="1"/>
    <xf numFmtId="0" fontId="0" fillId="5" borderId="10" xfId="0" applyFill="1" applyBorder="1"/>
    <xf numFmtId="0" fontId="1" fillId="0" borderId="13" xfId="0" applyFont="1" applyBorder="1"/>
    <xf numFmtId="0" fontId="0" fillId="0" borderId="14" xfId="0" applyBorder="1"/>
    <xf numFmtId="0" fontId="2" fillId="0" borderId="0" xfId="0" applyFont="1" applyAlignment="1">
      <alignment horizontal="center"/>
    </xf>
    <xf numFmtId="0" fontId="10" fillId="0" borderId="0" xfId="0" applyFont="1" applyAlignment="1">
      <alignment horizontal="left" vertical="center" wrapText="1"/>
    </xf>
    <xf numFmtId="0" fontId="8" fillId="9" borderId="0" xfId="4" applyBorder="1"/>
    <xf numFmtId="0" fontId="6" fillId="7" borderId="0" xfId="2" applyBorder="1"/>
    <xf numFmtId="0" fontId="0" fillId="10" borderId="0" xfId="0" applyFill="1"/>
    <xf numFmtId="0" fontId="0" fillId="0" borderId="0" xfId="0" applyAlignment="1">
      <alignment horizontal="center"/>
    </xf>
    <xf numFmtId="0" fontId="2" fillId="12" borderId="0" xfId="0" applyFont="1" applyFill="1"/>
    <xf numFmtId="164" fontId="11" fillId="13" borderId="23" xfId="0" applyNumberFormat="1" applyFont="1" applyFill="1" applyBorder="1" applyAlignment="1">
      <alignment horizontal="center"/>
    </xf>
    <xf numFmtId="0" fontId="11" fillId="0" borderId="22" xfId="0" applyFont="1" applyBorder="1"/>
    <xf numFmtId="0" fontId="11" fillId="0" borderId="24" xfId="0" applyFont="1" applyBorder="1" applyAlignment="1">
      <alignment horizontal="left"/>
    </xf>
    <xf numFmtId="164" fontId="11" fillId="13" borderId="24" xfId="0" applyNumberFormat="1" applyFont="1" applyFill="1" applyBorder="1" applyAlignment="1">
      <alignment horizontal="center"/>
    </xf>
    <xf numFmtId="165" fontId="11" fillId="13" borderId="24" xfId="0" applyNumberFormat="1" applyFont="1" applyFill="1" applyBorder="1" applyAlignment="1">
      <alignment horizontal="center"/>
    </xf>
    <xf numFmtId="165" fontId="11" fillId="13" borderId="23" xfId="0" applyNumberFormat="1" applyFont="1" applyFill="1" applyBorder="1" applyAlignment="1">
      <alignment horizontal="center"/>
    </xf>
    <xf numFmtId="0" fontId="0" fillId="14" borderId="0" xfId="0" applyFill="1"/>
    <xf numFmtId="0" fontId="12" fillId="0" borderId="22" xfId="0" applyFont="1" applyBorder="1" applyAlignment="1">
      <alignment horizontal="left"/>
    </xf>
    <xf numFmtId="0" fontId="12" fillId="0" borderId="22" xfId="0" applyFont="1" applyBorder="1"/>
    <xf numFmtId="2" fontId="0" fillId="0" borderId="0" xfId="0" applyNumberFormat="1"/>
    <xf numFmtId="165" fontId="11" fillId="13" borderId="25" xfId="0" applyNumberFormat="1" applyFont="1" applyFill="1" applyBorder="1" applyAlignment="1">
      <alignment horizontal="center"/>
    </xf>
    <xf numFmtId="0" fontId="11" fillId="0" borderId="26" xfId="0" applyFont="1" applyBorder="1"/>
    <xf numFmtId="0" fontId="11" fillId="0" borderId="24" xfId="0" applyFont="1" applyBorder="1"/>
    <xf numFmtId="0" fontId="14" fillId="0" borderId="22" xfId="6" applyFont="1" applyFill="1" applyBorder="1"/>
    <xf numFmtId="0" fontId="2" fillId="0" borderId="12" xfId="0" applyFont="1" applyBorder="1"/>
    <xf numFmtId="0" fontId="2" fillId="0" borderId="9" xfId="0" applyFont="1" applyBorder="1" applyAlignment="1">
      <alignment wrapText="1"/>
    </xf>
    <xf numFmtId="0" fontId="2" fillId="0" borderId="10" xfId="0" applyFont="1" applyBorder="1"/>
    <xf numFmtId="0" fontId="2" fillId="0" borderId="10" xfId="0" applyFont="1" applyBorder="1" applyAlignment="1">
      <alignment wrapText="1"/>
    </xf>
    <xf numFmtId="0" fontId="2" fillId="0" borderId="11" xfId="0" applyFont="1" applyBorder="1"/>
    <xf numFmtId="0" fontId="3" fillId="0" borderId="12" xfId="1" applyBorder="1"/>
    <xf numFmtId="0" fontId="1" fillId="0" borderId="14" xfId="0" applyFont="1" applyBorder="1"/>
    <xf numFmtId="0" fontId="1" fillId="0" borderId="15" xfId="0" applyFont="1" applyBorder="1"/>
    <xf numFmtId="0" fontId="2" fillId="0" borderId="13" xfId="0" applyFont="1" applyBorder="1"/>
    <xf numFmtId="49" fontId="3" fillId="0" borderId="12" xfId="1" applyNumberFormat="1" applyBorder="1"/>
    <xf numFmtId="0" fontId="2" fillId="0" borderId="9" xfId="0" applyFont="1" applyBorder="1"/>
    <xf numFmtId="0" fontId="0" fillId="0" borderId="15" xfId="0" quotePrefix="1" applyBorder="1"/>
    <xf numFmtId="0" fontId="3" fillId="0" borderId="12" xfId="1" applyFill="1" applyBorder="1"/>
    <xf numFmtId="0" fontId="0" fillId="0" borderId="13" xfId="0" applyBorder="1" applyAlignment="1">
      <alignment horizontal="left"/>
    </xf>
    <xf numFmtId="0" fontId="0" fillId="0" borderId="18" xfId="0" applyBorder="1"/>
    <xf numFmtId="0" fontId="2" fillId="10" borderId="0" xfId="0" applyFont="1" applyFill="1"/>
    <xf numFmtId="0" fontId="0" fillId="0" borderId="13"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2" fontId="0" fillId="0" borderId="15" xfId="0" applyNumberFormat="1" applyBorder="1"/>
    <xf numFmtId="0" fontId="0" fillId="16" borderId="9" xfId="0" applyFill="1" applyBorder="1"/>
    <xf numFmtId="0" fontId="0" fillId="16" borderId="10" xfId="0" applyFill="1" applyBorder="1"/>
    <xf numFmtId="0" fontId="0" fillId="16" borderId="11" xfId="0" applyFill="1" applyBorder="1"/>
    <xf numFmtId="0" fontId="0" fillId="16" borderId="12" xfId="0" applyFill="1" applyBorder="1"/>
    <xf numFmtId="0" fontId="0" fillId="16" borderId="0" xfId="0" applyFill="1"/>
    <xf numFmtId="0" fontId="0" fillId="16" borderId="13" xfId="0" applyFill="1" applyBorder="1"/>
    <xf numFmtId="0" fontId="2" fillId="16" borderId="12" xfId="0" applyFont="1" applyFill="1" applyBorder="1"/>
    <xf numFmtId="0" fontId="0" fillId="16" borderId="14" xfId="0" applyFill="1" applyBorder="1"/>
    <xf numFmtId="0" fontId="0" fillId="16" borderId="15" xfId="0" applyFill="1" applyBorder="1"/>
    <xf numFmtId="0" fontId="0" fillId="16" borderId="16" xfId="0" applyFill="1" applyBorder="1"/>
    <xf numFmtId="0" fontId="3" fillId="0" borderId="0" xfId="1" applyBorder="1"/>
    <xf numFmtId="0" fontId="4" fillId="0" borderId="13" xfId="0" applyFont="1" applyBorder="1"/>
    <xf numFmtId="10" fontId="4" fillId="0" borderId="13" xfId="5" applyNumberFormat="1" applyFont="1" applyBorder="1"/>
    <xf numFmtId="0" fontId="4" fillId="0" borderId="12" xfId="0" applyFont="1" applyBorder="1"/>
    <xf numFmtId="165" fontId="1" fillId="0" borderId="15" xfId="0" applyNumberFormat="1" applyFont="1" applyBorder="1"/>
    <xf numFmtId="165" fontId="4" fillId="0" borderId="0" xfId="0" applyNumberFormat="1" applyFont="1"/>
    <xf numFmtId="9" fontId="4" fillId="0" borderId="13" xfId="0" applyNumberFormat="1" applyFont="1" applyBorder="1"/>
    <xf numFmtId="165" fontId="0" fillId="0" borderId="0" xfId="0" applyNumberFormat="1"/>
    <xf numFmtId="0" fontId="3" fillId="0" borderId="0" xfId="1" quotePrefix="1" applyFill="1"/>
    <xf numFmtId="0" fontId="2" fillId="0" borderId="13" xfId="0" applyFont="1" applyBorder="1" applyAlignment="1">
      <alignment horizontal="center"/>
    </xf>
    <xf numFmtId="0" fontId="3" fillId="0" borderId="0" xfId="1" applyFill="1" applyBorder="1"/>
    <xf numFmtId="16" fontId="0" fillId="0" borderId="12" xfId="0" applyNumberFormat="1" applyBorder="1"/>
    <xf numFmtId="0" fontId="0" fillId="0" borderId="14" xfId="0" applyBorder="1" applyAlignment="1">
      <alignment horizontal="center"/>
    </xf>
    <xf numFmtId="0" fontId="3" fillId="0" borderId="14" xfId="1" applyBorder="1"/>
    <xf numFmtId="0" fontId="18" fillId="0" borderId="0" xfId="0" applyFont="1"/>
    <xf numFmtId="0" fontId="7" fillId="8" borderId="1" xfId="3" applyBorder="1"/>
    <xf numFmtId="0" fontId="17" fillId="17" borderId="29" xfId="0" applyFont="1" applyFill="1" applyBorder="1" applyAlignment="1">
      <alignment horizontal="center" vertical="center"/>
    </xf>
    <xf numFmtId="0" fontId="7" fillId="0" borderId="0" xfId="3" applyFill="1" applyBorder="1"/>
    <xf numFmtId="0" fontId="8" fillId="9" borderId="11" xfId="4" applyBorder="1"/>
    <xf numFmtId="0" fontId="6" fillId="7" borderId="13" xfId="2" applyBorder="1"/>
    <xf numFmtId="0" fontId="8" fillId="0" borderId="0" xfId="4" applyFill="1" applyBorder="1"/>
    <xf numFmtId="0" fontId="6" fillId="7" borderId="16" xfId="2" applyBorder="1"/>
    <xf numFmtId="0" fontId="19" fillId="0" borderId="0" xfId="0" applyFont="1"/>
    <xf numFmtId="0" fontId="19" fillId="0" borderId="0" xfId="0" applyFont="1" applyAlignment="1">
      <alignment horizontal="center" wrapText="1"/>
    </xf>
    <xf numFmtId="0" fontId="19" fillId="0" borderId="0" xfId="0" applyFont="1" applyAlignment="1">
      <alignment horizontal="center"/>
    </xf>
    <xf numFmtId="0" fontId="20" fillId="0" borderId="0" xfId="0" applyFont="1"/>
    <xf numFmtId="2" fontId="19" fillId="0" borderId="0" xfId="0" applyNumberFormat="1" applyFont="1" applyAlignment="1">
      <alignment horizontal="center"/>
    </xf>
    <xf numFmtId="0" fontId="20" fillId="0" borderId="0" xfId="0" applyFont="1" applyAlignment="1">
      <alignment horizontal="center"/>
    </xf>
    <xf numFmtId="0" fontId="21" fillId="0" borderId="0" xfId="1" applyFont="1" applyFill="1" applyBorder="1"/>
    <xf numFmtId="0" fontId="22" fillId="0" borderId="0" xfId="0" applyFont="1"/>
    <xf numFmtId="2" fontId="23" fillId="0" borderId="0" xfId="0" applyNumberFormat="1" applyFont="1" applyAlignment="1">
      <alignment horizontal="center"/>
    </xf>
    <xf numFmtId="0" fontId="22" fillId="0" borderId="0" xfId="0" applyFont="1" applyAlignment="1">
      <alignment horizontal="center"/>
    </xf>
    <xf numFmtId="0" fontId="22" fillId="0" borderId="0" xfId="0" applyFont="1" applyAlignment="1">
      <alignment horizontal="left" vertical="top"/>
    </xf>
    <xf numFmtId="0" fontId="22" fillId="0" borderId="0" xfId="0" applyFont="1" applyAlignment="1">
      <alignment horizontal="left" vertical="center"/>
    </xf>
    <xf numFmtId="0" fontId="23" fillId="0" borderId="0" xfId="0" applyFont="1"/>
    <xf numFmtId="0" fontId="21" fillId="0" borderId="0" xfId="0" applyFont="1"/>
    <xf numFmtId="2" fontId="24" fillId="0" borderId="0" xfId="1" applyNumberFormat="1" applyFont="1" applyFill="1" applyBorder="1" applyAlignment="1">
      <alignment horizontal="center"/>
    </xf>
    <xf numFmtId="0" fontId="19" fillId="18" borderId="0" xfId="0" applyFont="1" applyFill="1"/>
    <xf numFmtId="0" fontId="19" fillId="18" borderId="0" xfId="0" applyFont="1" applyFill="1" applyAlignment="1">
      <alignment horizontal="center" wrapText="1"/>
    </xf>
    <xf numFmtId="0" fontId="19" fillId="18" borderId="0" xfId="0" applyFont="1" applyFill="1" applyAlignment="1">
      <alignment horizontal="center"/>
    </xf>
    <xf numFmtId="0" fontId="2" fillId="18" borderId="0" xfId="0" applyFont="1" applyFill="1"/>
    <xf numFmtId="0" fontId="16" fillId="0" borderId="0" xfId="0" applyFont="1"/>
    <xf numFmtId="0" fontId="16" fillId="0" borderId="0" xfId="0" applyFont="1" applyAlignment="1">
      <alignment horizontal="center"/>
    </xf>
    <xf numFmtId="0" fontId="4" fillId="0" borderId="0" xfId="0" applyFont="1" applyAlignment="1">
      <alignment horizontal="center"/>
    </xf>
    <xf numFmtId="2" fontId="4" fillId="0" borderId="0" xfId="0" applyNumberFormat="1" applyFont="1" applyAlignment="1">
      <alignment horizontal="center"/>
    </xf>
    <xf numFmtId="0" fontId="6" fillId="7" borderId="7" xfId="2" applyBorder="1"/>
    <xf numFmtId="0" fontId="6" fillId="0" borderId="0" xfId="2" applyFill="1" applyBorder="1"/>
    <xf numFmtId="0" fontId="2" fillId="5" borderId="0" xfId="0" applyFont="1" applyFill="1"/>
    <xf numFmtId="0" fontId="2" fillId="0" borderId="2" xfId="0" applyFont="1" applyBorder="1"/>
    <xf numFmtId="0" fontId="8" fillId="9" borderId="7" xfId="4" applyBorder="1"/>
    <xf numFmtId="0" fontId="2" fillId="0" borderId="0" xfId="0" applyFont="1" applyAlignment="1">
      <alignment horizontal="left" vertical="center" wrapText="1"/>
    </xf>
    <xf numFmtId="0" fontId="2" fillId="0" borderId="1" xfId="0" applyFont="1" applyBorder="1"/>
    <xf numFmtId="0" fontId="6" fillId="7" borderId="8" xfId="2" applyBorder="1"/>
    <xf numFmtId="0" fontId="18" fillId="0" borderId="31" xfId="0" applyFont="1" applyBorder="1"/>
    <xf numFmtId="0" fontId="18" fillId="0" borderId="30" xfId="0" applyFont="1" applyBorder="1"/>
    <xf numFmtId="0" fontId="7" fillId="0" borderId="31" xfId="3" applyFill="1" applyBorder="1"/>
    <xf numFmtId="0" fontId="7" fillId="0" borderId="30" xfId="3" applyFill="1" applyBorder="1"/>
    <xf numFmtId="0" fontId="4" fillId="0" borderId="31" xfId="0" applyFont="1" applyBorder="1"/>
    <xf numFmtId="0" fontId="0" fillId="0" borderId="30" xfId="0" applyBorder="1"/>
    <xf numFmtId="0" fontId="2" fillId="0" borderId="31" xfId="0" applyFont="1" applyBorder="1"/>
    <xf numFmtId="0" fontId="1" fillId="0" borderId="30" xfId="0" applyFont="1" applyBorder="1"/>
    <xf numFmtId="0" fontId="1" fillId="0" borderId="28" xfId="0" applyFont="1" applyBorder="1"/>
    <xf numFmtId="0" fontId="0" fillId="0" borderId="28" xfId="0" applyBorder="1"/>
    <xf numFmtId="0" fontId="6" fillId="7" borderId="28" xfId="2" applyBorder="1"/>
    <xf numFmtId="0" fontId="0" fillId="5" borderId="4" xfId="0" applyFill="1" applyBorder="1"/>
    <xf numFmtId="0" fontId="0" fillId="5" borderId="5" xfId="0" applyFill="1" applyBorder="1"/>
    <xf numFmtId="0" fontId="7" fillId="8" borderId="2" xfId="3" applyBorder="1"/>
    <xf numFmtId="9" fontId="8" fillId="9" borderId="0" xfId="5" applyFont="1" applyFill="1" applyBorder="1"/>
    <xf numFmtId="0" fontId="7" fillId="0" borderId="0" xfId="3" applyFill="1"/>
    <xf numFmtId="0" fontId="17" fillId="0" borderId="0" xfId="0" applyFont="1" applyAlignment="1">
      <alignment horizontal="center" vertical="center"/>
    </xf>
    <xf numFmtId="0" fontId="1" fillId="0" borderId="36" xfId="0" applyFont="1" applyBorder="1"/>
    <xf numFmtId="0" fontId="0" fillId="0" borderId="36" xfId="0" applyBorder="1"/>
    <xf numFmtId="0" fontId="0" fillId="0" borderId="37" xfId="0" applyBorder="1"/>
    <xf numFmtId="0" fontId="6" fillId="7" borderId="37" xfId="2" applyBorder="1"/>
    <xf numFmtId="0" fontId="8" fillId="9" borderId="13" xfId="4" applyBorder="1"/>
    <xf numFmtId="0" fontId="8" fillId="9" borderId="38" xfId="4" applyBorder="1"/>
    <xf numFmtId="0" fontId="7" fillId="8" borderId="12" xfId="3" applyBorder="1"/>
    <xf numFmtId="0" fontId="7" fillId="8" borderId="0" xfId="3" applyBorder="1"/>
    <xf numFmtId="0" fontId="7" fillId="8" borderId="13" xfId="3" applyBorder="1"/>
    <xf numFmtId="0" fontId="7" fillId="8" borderId="10" xfId="3" applyBorder="1"/>
    <xf numFmtId="0" fontId="7" fillId="8" borderId="11" xfId="3" applyBorder="1"/>
    <xf numFmtId="0" fontId="7" fillId="8" borderId="34" xfId="3" applyBorder="1"/>
    <xf numFmtId="0" fontId="7" fillId="8" borderId="35" xfId="3" applyBorder="1"/>
    <xf numFmtId="0" fontId="7" fillId="8" borderId="21" xfId="3" applyBorder="1"/>
    <xf numFmtId="0" fontId="7" fillId="8" borderId="39" xfId="3" applyBorder="1"/>
    <xf numFmtId="0" fontId="7" fillId="8" borderId="38" xfId="3" applyBorder="1"/>
    <xf numFmtId="0" fontId="3" fillId="0" borderId="36" xfId="1" applyBorder="1"/>
    <xf numFmtId="16" fontId="7" fillId="8" borderId="9" xfId="3" applyNumberFormat="1" applyBorder="1"/>
    <xf numFmtId="0" fontId="8" fillId="9" borderId="40" xfId="4" applyBorder="1"/>
    <xf numFmtId="0" fontId="0" fillId="0" borderId="0" xfId="0" applyAlignment="1">
      <alignment vertical="center" wrapText="1"/>
    </xf>
    <xf numFmtId="0" fontId="0" fillId="0" borderId="0" xfId="0" applyAlignment="1">
      <alignment vertical="center"/>
    </xf>
    <xf numFmtId="165" fontId="1" fillId="0" borderId="0" xfId="0" applyNumberFormat="1" applyFont="1"/>
    <xf numFmtId="0" fontId="0" fillId="0" borderId="31" xfId="0" applyBorder="1"/>
    <xf numFmtId="166" fontId="8" fillId="9" borderId="13" xfId="4" applyNumberFormat="1" applyBorder="1"/>
    <xf numFmtId="166" fontId="0" fillId="0" borderId="16" xfId="0" applyNumberFormat="1" applyBorder="1"/>
    <xf numFmtId="0" fontId="32" fillId="0" borderId="9" xfId="0" applyFont="1" applyBorder="1"/>
    <xf numFmtId="0" fontId="32" fillId="0" borderId="0" xfId="0" applyFont="1"/>
    <xf numFmtId="0" fontId="32" fillId="24" borderId="12" xfId="0" applyFont="1" applyFill="1" applyBorder="1"/>
    <xf numFmtId="0" fontId="34" fillId="0" borderId="0" xfId="0" applyFont="1"/>
    <xf numFmtId="0" fontId="32" fillId="29" borderId="12" xfId="0" applyFont="1" applyFill="1" applyBorder="1"/>
    <xf numFmtId="0" fontId="32" fillId="17" borderId="12" xfId="0" applyFont="1" applyFill="1" applyBorder="1"/>
    <xf numFmtId="0" fontId="32" fillId="19" borderId="12" xfId="0" applyFont="1" applyFill="1" applyBorder="1"/>
    <xf numFmtId="0" fontId="32" fillId="30" borderId="14" xfId="0" applyFont="1" applyFill="1" applyBorder="1"/>
    <xf numFmtId="0" fontId="36" fillId="0" borderId="0" xfId="0" applyFont="1"/>
    <xf numFmtId="0" fontId="37" fillId="0" borderId="9" xfId="0" applyFont="1" applyBorder="1"/>
    <xf numFmtId="0" fontId="37" fillId="0" borderId="10" xfId="0" applyFont="1" applyBorder="1" applyAlignment="1">
      <alignment wrapText="1"/>
    </xf>
    <xf numFmtId="0" fontId="37" fillId="0" borderId="0" xfId="0" applyFont="1"/>
    <xf numFmtId="0" fontId="38" fillId="0" borderId="0" xfId="0" applyFont="1"/>
    <xf numFmtId="0" fontId="38" fillId="0" borderId="15" xfId="0" applyFont="1" applyBorder="1"/>
    <xf numFmtId="0" fontId="39" fillId="0" borderId="0" xfId="0" applyFont="1"/>
    <xf numFmtId="0" fontId="40" fillId="0" borderId="0" xfId="0" applyFont="1"/>
    <xf numFmtId="0" fontId="41" fillId="0" borderId="0" xfId="0" applyFont="1"/>
    <xf numFmtId="0" fontId="41" fillId="0" borderId="15" xfId="0" applyFont="1" applyBorder="1"/>
    <xf numFmtId="0" fontId="40" fillId="10" borderId="0" xfId="0" applyFont="1" applyFill="1"/>
    <xf numFmtId="0" fontId="37" fillId="0" borderId="0" xfId="0" applyFont="1" applyAlignment="1">
      <alignment wrapText="1"/>
    </xf>
    <xf numFmtId="0" fontId="37" fillId="0" borderId="10" xfId="0" applyFont="1" applyBorder="1"/>
    <xf numFmtId="0" fontId="37" fillId="0" borderId="11" xfId="0" applyFont="1" applyBorder="1" applyAlignment="1">
      <alignment wrapText="1"/>
    </xf>
    <xf numFmtId="0" fontId="42" fillId="0" borderId="0" xfId="0" applyFont="1" applyAlignment="1">
      <alignment wrapText="1"/>
    </xf>
    <xf numFmtId="0" fontId="37" fillId="0" borderId="10" xfId="0" applyFont="1" applyBorder="1" applyAlignment="1">
      <alignment wrapText="1" shrinkToFit="1"/>
    </xf>
    <xf numFmtId="0" fontId="37" fillId="0" borderId="9" xfId="0" applyFont="1" applyBorder="1" applyAlignment="1">
      <alignment wrapText="1"/>
    </xf>
    <xf numFmtId="0" fontId="37" fillId="0" borderId="13" xfId="0" applyFont="1" applyBorder="1" applyAlignment="1">
      <alignment wrapText="1"/>
    </xf>
    <xf numFmtId="0" fontId="37" fillId="0" borderId="41" xfId="0" applyFont="1" applyBorder="1" applyAlignment="1">
      <alignment wrapText="1"/>
    </xf>
    <xf numFmtId="0" fontId="37" fillId="31" borderId="0" xfId="0" applyFont="1" applyFill="1"/>
    <xf numFmtId="0" fontId="38" fillId="0" borderId="12" xfId="0" applyFont="1" applyBorder="1"/>
    <xf numFmtId="0" fontId="38" fillId="0" borderId="13" xfId="0" applyFont="1" applyBorder="1"/>
    <xf numFmtId="0" fontId="43" fillId="0" borderId="12" xfId="0" applyFont="1" applyBorder="1"/>
    <xf numFmtId="0" fontId="38" fillId="0" borderId="42" xfId="0" applyFont="1" applyBorder="1"/>
    <xf numFmtId="0" fontId="38" fillId="0" borderId="14" xfId="0" applyFont="1" applyBorder="1"/>
    <xf numFmtId="0" fontId="38" fillId="0" borderId="16" xfId="0" applyFont="1" applyBorder="1"/>
    <xf numFmtId="0" fontId="43" fillId="0" borderId="14" xfId="0" applyFont="1" applyBorder="1"/>
    <xf numFmtId="0" fontId="38" fillId="0" borderId="43" xfId="0" applyFont="1" applyBorder="1"/>
    <xf numFmtId="0" fontId="38" fillId="0" borderId="10" xfId="0" applyFont="1" applyBorder="1"/>
    <xf numFmtId="0" fontId="37" fillId="32" borderId="0" xfId="0" applyFont="1" applyFill="1"/>
    <xf numFmtId="0" fontId="38" fillId="0" borderId="0" xfId="0" applyFont="1" applyAlignment="1">
      <alignment wrapText="1"/>
    </xf>
    <xf numFmtId="0" fontId="39" fillId="0" borderId="0" xfId="0" applyFont="1" applyAlignment="1">
      <alignment horizontal="center" vertical="center" wrapText="1"/>
    </xf>
    <xf numFmtId="0" fontId="40" fillId="0" borderId="0" xfId="0" applyFont="1" applyAlignment="1">
      <alignment wrapText="1"/>
    </xf>
    <xf numFmtId="0" fontId="44" fillId="0" borderId="0" xfId="0" applyFont="1"/>
    <xf numFmtId="0" fontId="45" fillId="0" borderId="0" xfId="0" applyFont="1"/>
    <xf numFmtId="0" fontId="46" fillId="0" borderId="0" xfId="0" applyFont="1" applyAlignment="1">
      <alignment wrapText="1"/>
    </xf>
    <xf numFmtId="0" fontId="47" fillId="0" borderId="0" xfId="0" applyFont="1" applyAlignment="1">
      <alignment wrapText="1"/>
    </xf>
    <xf numFmtId="0" fontId="48" fillId="0" borderId="0" xfId="0" applyFont="1" applyAlignment="1">
      <alignment wrapText="1"/>
    </xf>
    <xf numFmtId="0" fontId="49" fillId="0" borderId="0" xfId="0" applyFont="1" applyAlignment="1">
      <alignment wrapText="1"/>
    </xf>
    <xf numFmtId="0" fontId="50" fillId="0" borderId="0" xfId="0" applyFont="1" applyAlignment="1">
      <alignment wrapText="1"/>
    </xf>
    <xf numFmtId="0" fontId="51" fillId="0" borderId="0" xfId="0" applyFont="1" applyAlignment="1">
      <alignment wrapText="1"/>
    </xf>
    <xf numFmtId="0" fontId="52" fillId="0" borderId="0" xfId="0" applyFont="1" applyAlignment="1">
      <alignment wrapText="1"/>
    </xf>
    <xf numFmtId="0" fontId="53" fillId="0" borderId="0" xfId="0" applyFont="1" applyAlignment="1">
      <alignment wrapText="1"/>
    </xf>
    <xf numFmtId="0" fontId="41" fillId="0" borderId="0" xfId="0" applyFont="1" applyAlignment="1">
      <alignment wrapText="1"/>
    </xf>
    <xf numFmtId="0" fontId="54" fillId="0" borderId="0" xfId="0" applyFont="1" applyAlignment="1">
      <alignment wrapText="1"/>
    </xf>
    <xf numFmtId="0" fontId="0" fillId="24" borderId="0" xfId="0" applyFill="1"/>
    <xf numFmtId="0" fontId="0" fillId="32" borderId="0" xfId="0" applyFill="1"/>
    <xf numFmtId="0" fontId="55" fillId="0" borderId="0" xfId="0" applyFont="1"/>
    <xf numFmtId="0" fontId="0" fillId="33" borderId="0" xfId="0" applyFill="1"/>
    <xf numFmtId="0" fontId="44" fillId="33" borderId="0" xfId="0" applyFont="1" applyFill="1"/>
    <xf numFmtId="0" fontId="0" fillId="18" borderId="0" xfId="0" applyFill="1"/>
    <xf numFmtId="0" fontId="16" fillId="2" borderId="21" xfId="2" applyFont="1" applyFill="1" applyBorder="1"/>
    <xf numFmtId="0" fontId="41" fillId="0" borderId="0" xfId="0" applyFont="1" applyAlignment="1">
      <alignment vertical="center"/>
    </xf>
    <xf numFmtId="0" fontId="40" fillId="34" borderId="0" xfId="0" applyFont="1" applyFill="1" applyAlignment="1">
      <alignment vertical="center" wrapText="1"/>
    </xf>
    <xf numFmtId="0" fontId="40" fillId="34" borderId="7" xfId="0" applyFont="1" applyFill="1" applyBorder="1" applyAlignment="1">
      <alignment vertical="center" wrapText="1"/>
    </xf>
    <xf numFmtId="0" fontId="40" fillId="35" borderId="0" xfId="0" applyFont="1" applyFill="1" applyAlignment="1">
      <alignment vertical="center" wrapText="1"/>
    </xf>
    <xf numFmtId="0" fontId="56" fillId="36" borderId="0" xfId="0" applyFont="1" applyFill="1" applyAlignment="1">
      <alignment vertical="center" wrapText="1"/>
    </xf>
    <xf numFmtId="0" fontId="40" fillId="35" borderId="7" xfId="0" applyFont="1" applyFill="1" applyBorder="1" applyAlignment="1">
      <alignment vertical="center" wrapText="1"/>
    </xf>
    <xf numFmtId="0" fontId="40" fillId="37" borderId="0" xfId="0" applyFont="1" applyFill="1" applyAlignment="1">
      <alignment vertical="center" wrapText="1"/>
    </xf>
    <xf numFmtId="0" fontId="40" fillId="37" borderId="7" xfId="0" applyFont="1" applyFill="1" applyBorder="1" applyAlignment="1">
      <alignment vertical="center" wrapText="1"/>
    </xf>
    <xf numFmtId="0" fontId="40" fillId="31" borderId="3" xfId="0" applyFont="1" applyFill="1" applyBorder="1" applyAlignment="1">
      <alignment vertical="center" wrapText="1"/>
    </xf>
    <xf numFmtId="0" fontId="40" fillId="31" borderId="7" xfId="0" applyFont="1" applyFill="1" applyBorder="1" applyAlignment="1">
      <alignment vertical="center" wrapText="1"/>
    </xf>
    <xf numFmtId="0" fontId="40" fillId="38" borderId="0" xfId="0" applyFont="1" applyFill="1" applyAlignment="1">
      <alignment vertical="center" wrapText="1"/>
    </xf>
    <xf numFmtId="2" fontId="41" fillId="0" borderId="0" xfId="0" applyNumberFormat="1" applyFont="1"/>
    <xf numFmtId="2" fontId="41" fillId="0" borderId="7" xfId="0" applyNumberFormat="1" applyFont="1" applyBorder="1"/>
    <xf numFmtId="0" fontId="57" fillId="36" borderId="0" xfId="0" applyFont="1" applyFill="1"/>
    <xf numFmtId="0" fontId="41" fillId="0" borderId="7" xfId="0" applyFont="1" applyBorder="1"/>
    <xf numFmtId="2" fontId="41" fillId="0" borderId="3" xfId="0" applyNumberFormat="1" applyFont="1" applyBorder="1"/>
    <xf numFmtId="0" fontId="41" fillId="0" borderId="3" xfId="0" applyFont="1" applyBorder="1"/>
    <xf numFmtId="0" fontId="57" fillId="0" borderId="0" xfId="0" applyFont="1"/>
    <xf numFmtId="0" fontId="58" fillId="0" borderId="0" xfId="0" applyFont="1"/>
    <xf numFmtId="166" fontId="41" fillId="0" borderId="0" xfId="0" applyNumberFormat="1" applyFont="1"/>
    <xf numFmtId="2" fontId="57" fillId="36" borderId="0" xfId="0" applyNumberFormat="1" applyFont="1" applyFill="1"/>
    <xf numFmtId="0" fontId="41" fillId="10" borderId="0" xfId="0" applyFont="1" applyFill="1"/>
    <xf numFmtId="0" fontId="59" fillId="0" borderId="0" xfId="0" applyFont="1"/>
    <xf numFmtId="2" fontId="41" fillId="0" borderId="15" xfId="0" applyNumberFormat="1" applyFont="1" applyBorder="1"/>
    <xf numFmtId="0" fontId="41" fillId="0" borderId="0" xfId="0" applyFont="1" applyAlignment="1">
      <alignment horizontal="center" wrapText="1"/>
    </xf>
    <xf numFmtId="0" fontId="40" fillId="0" borderId="10" xfId="0" applyFont="1" applyBorder="1" applyAlignment="1">
      <alignment horizontal="center"/>
    </xf>
    <xf numFmtId="165" fontId="41" fillId="0" borderId="0" xfId="0" applyNumberFormat="1" applyFont="1"/>
    <xf numFmtId="0" fontId="41" fillId="0" borderId="13" xfId="0" applyFont="1" applyBorder="1"/>
    <xf numFmtId="0" fontId="41" fillId="0" borderId="12" xfId="0" applyFont="1" applyBorder="1"/>
    <xf numFmtId="165" fontId="41" fillId="0" borderId="15" xfId="0" applyNumberFormat="1" applyFont="1" applyBorder="1"/>
    <xf numFmtId="0" fontId="41" fillId="0" borderId="14" xfId="0" applyFont="1" applyBorder="1"/>
    <xf numFmtId="0" fontId="41" fillId="0" borderId="9" xfId="0" applyFont="1" applyBorder="1"/>
    <xf numFmtId="0" fontId="39" fillId="0" borderId="0" xfId="0" applyFont="1" applyAlignment="1">
      <alignment vertical="center"/>
    </xf>
    <xf numFmtId="2" fontId="40" fillId="0" borderId="0" xfId="0" applyNumberFormat="1" applyFont="1"/>
    <xf numFmtId="164" fontId="41" fillId="0" borderId="0" xfId="0" applyNumberFormat="1" applyFont="1"/>
    <xf numFmtId="0" fontId="40" fillId="0" borderId="0" xfId="0" applyFont="1" applyAlignment="1">
      <alignment vertical="center" wrapText="1"/>
    </xf>
    <xf numFmtId="0" fontId="40" fillId="0" borderId="15" xfId="0" applyFont="1" applyBorder="1" applyAlignment="1">
      <alignment vertical="center" wrapText="1"/>
    </xf>
    <xf numFmtId="0" fontId="41" fillId="0" borderId="10" xfId="0" applyFont="1" applyBorder="1"/>
    <xf numFmtId="165" fontId="61" fillId="0" borderId="0" xfId="0" applyNumberFormat="1" applyFont="1"/>
    <xf numFmtId="0" fontId="41" fillId="0" borderId="12" xfId="0" applyFont="1" applyBorder="1" applyAlignment="1">
      <alignment wrapText="1"/>
    </xf>
    <xf numFmtId="49" fontId="41" fillId="0" borderId="0" xfId="0" applyNumberFormat="1" applyFont="1"/>
    <xf numFmtId="0" fontId="41" fillId="0" borderId="13" xfId="0" applyFont="1" applyBorder="1" applyAlignment="1">
      <alignment wrapText="1"/>
    </xf>
    <xf numFmtId="0" fontId="41" fillId="12" borderId="0" xfId="0" applyFont="1" applyFill="1"/>
    <xf numFmtId="0" fontId="41" fillId="28" borderId="15" xfId="0" applyFont="1" applyFill="1" applyBorder="1"/>
    <xf numFmtId="0" fontId="41" fillId="29" borderId="0" xfId="0" applyFont="1" applyFill="1" applyAlignment="1">
      <alignment wrapText="1"/>
    </xf>
    <xf numFmtId="0" fontId="41" fillId="29" borderId="0" xfId="0" applyFont="1" applyFill="1"/>
    <xf numFmtId="0" fontId="41" fillId="2" borderId="0" xfId="0" applyFont="1" applyFill="1"/>
    <xf numFmtId="0" fontId="41" fillId="2" borderId="0" xfId="0" applyFont="1" applyFill="1" applyAlignment="1">
      <alignment wrapText="1"/>
    </xf>
    <xf numFmtId="49" fontId="60" fillId="12" borderId="0" xfId="0" applyNumberFormat="1" applyFont="1" applyFill="1"/>
    <xf numFmtId="0" fontId="41" fillId="10" borderId="0" xfId="0" applyFont="1" applyFill="1" applyAlignment="1">
      <alignment wrapText="1"/>
    </xf>
    <xf numFmtId="0" fontId="41" fillId="29" borderId="10" xfId="0" applyFont="1" applyFill="1" applyBorder="1" applyAlignment="1">
      <alignment wrapText="1"/>
    </xf>
    <xf numFmtId="0" fontId="41" fillId="12" borderId="15" xfId="0" applyFont="1" applyFill="1" applyBorder="1"/>
    <xf numFmtId="0" fontId="62" fillId="0" borderId="0" xfId="0" applyFont="1"/>
    <xf numFmtId="0" fontId="62" fillId="0" borderId="0" xfId="0" applyFont="1" applyAlignment="1">
      <alignment wrapText="1"/>
    </xf>
    <xf numFmtId="167" fontId="0" fillId="10" borderId="0" xfId="0" applyNumberFormat="1" applyFill="1"/>
    <xf numFmtId="2" fontId="6" fillId="7" borderId="0" xfId="2" applyNumberFormat="1"/>
    <xf numFmtId="0" fontId="6" fillId="7" borderId="5" xfId="2" applyBorder="1"/>
    <xf numFmtId="0" fontId="6" fillId="7" borderId="47" xfId="2" applyBorder="1"/>
    <xf numFmtId="0" fontId="67" fillId="0" borderId="0" xfId="0" applyFont="1"/>
    <xf numFmtId="0" fontId="67" fillId="3" borderId="28" xfId="0" applyFont="1" applyFill="1" applyBorder="1" applyAlignment="1">
      <alignment horizontal="center"/>
    </xf>
    <xf numFmtId="0" fontId="67" fillId="3" borderId="28" xfId="0" applyFont="1" applyFill="1" applyBorder="1" applyAlignment="1">
      <alignment horizontal="center" wrapText="1"/>
    </xf>
    <xf numFmtId="0" fontId="21" fillId="0" borderId="0" xfId="0" applyFont="1" applyAlignment="1">
      <alignment horizontal="center"/>
    </xf>
    <xf numFmtId="0" fontId="21" fillId="0" borderId="0" xfId="0" applyFont="1" applyAlignment="1">
      <alignment horizontal="left"/>
    </xf>
    <xf numFmtId="165" fontId="21" fillId="0" borderId="0" xfId="0" applyNumberFormat="1" applyFont="1" applyAlignment="1">
      <alignment horizontal="center"/>
    </xf>
    <xf numFmtId="0" fontId="70" fillId="3" borderId="49" xfId="0" applyFont="1" applyFill="1" applyBorder="1"/>
    <xf numFmtId="0" fontId="0" fillId="0" borderId="0" xfId="0" applyAlignment="1">
      <alignment wrapText="1"/>
    </xf>
    <xf numFmtId="0" fontId="4" fillId="0" borderId="3" xfId="0" applyFont="1" applyBorder="1"/>
    <xf numFmtId="0" fontId="6" fillId="7" borderId="0" xfId="2" applyBorder="1" applyAlignment="1">
      <alignment horizontal="right"/>
    </xf>
    <xf numFmtId="0" fontId="16" fillId="21" borderId="20" xfId="0" applyFont="1" applyFill="1" applyBorder="1" applyAlignment="1">
      <alignment horizontal="center" vertical="center"/>
    </xf>
    <xf numFmtId="0" fontId="16" fillId="11" borderId="20" xfId="0" applyFont="1" applyFill="1" applyBorder="1" applyAlignment="1">
      <alignment vertical="center"/>
    </xf>
    <xf numFmtId="0" fontId="16" fillId="11" borderId="20" xfId="0" applyFont="1" applyFill="1" applyBorder="1" applyAlignment="1">
      <alignment horizontal="center" vertical="center"/>
    </xf>
    <xf numFmtId="0" fontId="2" fillId="21" borderId="20" xfId="0" applyFont="1" applyFill="1" applyBorder="1" applyAlignment="1">
      <alignment vertical="center"/>
    </xf>
    <xf numFmtId="0" fontId="4" fillId="0" borderId="14" xfId="0" applyFont="1" applyBorder="1"/>
    <xf numFmtId="0" fontId="74" fillId="20" borderId="20" xfId="0" applyFont="1" applyFill="1" applyBorder="1" applyAlignment="1">
      <alignment horizontal="left" vertical="center"/>
    </xf>
    <xf numFmtId="0" fontId="0" fillId="0" borderId="15" xfId="0" applyBorder="1" applyAlignment="1">
      <alignment wrapText="1"/>
    </xf>
    <xf numFmtId="0" fontId="4" fillId="0" borderId="36" xfId="0" applyFont="1" applyBorder="1"/>
    <xf numFmtId="0" fontId="4" fillId="0" borderId="5" xfId="0" applyFont="1" applyBorder="1"/>
    <xf numFmtId="0" fontId="4" fillId="0" borderId="12" xfId="1" applyFont="1" applyBorder="1"/>
    <xf numFmtId="0" fontId="4" fillId="0" borderId="15" xfId="0" applyFont="1" applyBorder="1"/>
    <xf numFmtId="0" fontId="4" fillId="0" borderId="14" xfId="1" applyFont="1" applyBorder="1"/>
    <xf numFmtId="0" fontId="4" fillId="0" borderId="36" xfId="1" applyFont="1" applyBorder="1"/>
    <xf numFmtId="0" fontId="7" fillId="8" borderId="6" xfId="3" applyBorder="1"/>
    <xf numFmtId="0" fontId="7" fillId="8" borderId="3" xfId="3" applyBorder="1"/>
    <xf numFmtId="0" fontId="7" fillId="8" borderId="7" xfId="3" applyBorder="1"/>
    <xf numFmtId="0" fontId="6" fillId="7" borderId="38" xfId="2" applyBorder="1"/>
    <xf numFmtId="0" fontId="8" fillId="9" borderId="54" xfId="4" applyBorder="1"/>
    <xf numFmtId="0" fontId="4" fillId="0" borderId="4" xfId="0" applyFont="1" applyBorder="1"/>
    <xf numFmtId="0" fontId="2" fillId="0" borderId="34" xfId="0" applyFont="1" applyBorder="1"/>
    <xf numFmtId="0" fontId="6" fillId="0" borderId="10" xfId="2" applyFill="1" applyBorder="1" applyAlignment="1">
      <alignment wrapText="1"/>
    </xf>
    <xf numFmtId="0" fontId="8" fillId="6" borderId="0" xfId="4" applyFill="1" applyBorder="1"/>
    <xf numFmtId="0" fontId="80" fillId="0" borderId="0" xfId="0" applyFont="1"/>
    <xf numFmtId="0" fontId="37" fillId="0" borderId="1" xfId="0" applyFont="1" applyBorder="1"/>
    <xf numFmtId="0" fontId="38" fillId="0" borderId="3" xfId="0" applyFont="1" applyBorder="1"/>
    <xf numFmtId="0" fontId="38" fillId="0" borderId="7" xfId="0" applyFont="1" applyBorder="1"/>
    <xf numFmtId="0" fontId="38" fillId="0" borderId="4" xfId="0" applyFont="1" applyBorder="1"/>
    <xf numFmtId="0" fontId="38" fillId="0" borderId="8" xfId="0" applyFont="1" applyBorder="1"/>
    <xf numFmtId="0" fontId="38" fillId="6" borderId="0" xfId="0" applyFont="1" applyFill="1"/>
    <xf numFmtId="9" fontId="6" fillId="7" borderId="28" xfId="5" applyFont="1" applyFill="1" applyBorder="1"/>
    <xf numFmtId="0" fontId="0" fillId="0" borderId="34" xfId="0" applyBorder="1"/>
    <xf numFmtId="0" fontId="6" fillId="7" borderId="29" xfId="2" applyBorder="1"/>
    <xf numFmtId="0" fontId="6" fillId="7" borderId="31" xfId="2" applyBorder="1"/>
    <xf numFmtId="0" fontId="0" fillId="11" borderId="0" xfId="0" applyFill="1"/>
    <xf numFmtId="0" fontId="16" fillId="11" borderId="1" xfId="0" applyFont="1" applyFill="1" applyBorder="1"/>
    <xf numFmtId="0" fontId="8" fillId="9" borderId="28" xfId="4" applyBorder="1"/>
    <xf numFmtId="0" fontId="8" fillId="9" borderId="38" xfId="4" applyBorder="1" applyAlignment="1">
      <alignment horizontal="right"/>
    </xf>
    <xf numFmtId="0" fontId="7" fillId="11" borderId="9" xfId="3" applyFill="1" applyBorder="1"/>
    <xf numFmtId="0" fontId="7" fillId="11" borderId="10" xfId="3" applyFill="1" applyBorder="1"/>
    <xf numFmtId="0" fontId="7" fillId="11" borderId="11" xfId="3" applyFill="1" applyBorder="1"/>
    <xf numFmtId="0" fontId="0" fillId="11" borderId="12" xfId="0" applyFill="1" applyBorder="1"/>
    <xf numFmtId="0" fontId="8" fillId="11" borderId="38" xfId="4" applyFill="1" applyBorder="1"/>
    <xf numFmtId="0" fontId="1" fillId="11" borderId="12" xfId="0" applyFont="1" applyFill="1" applyBorder="1"/>
    <xf numFmtId="0" fontId="1" fillId="11" borderId="0" xfId="0" applyFont="1" applyFill="1"/>
    <xf numFmtId="0" fontId="6" fillId="11" borderId="13" xfId="2" applyFill="1" applyBorder="1"/>
    <xf numFmtId="0" fontId="3" fillId="11" borderId="14" xfId="1" applyFill="1" applyBorder="1"/>
    <xf numFmtId="0" fontId="0" fillId="11" borderId="15" xfId="0" applyFill="1" applyBorder="1"/>
    <xf numFmtId="0" fontId="4" fillId="11" borderId="12" xfId="0" applyFont="1" applyFill="1" applyBorder="1"/>
    <xf numFmtId="0" fontId="4" fillId="11" borderId="0" xfId="0" applyFont="1" applyFill="1"/>
    <xf numFmtId="0" fontId="4" fillId="11" borderId="14" xfId="1" applyFont="1" applyFill="1" applyBorder="1"/>
    <xf numFmtId="0" fontId="4" fillId="11" borderId="15" xfId="0" applyFont="1" applyFill="1" applyBorder="1"/>
    <xf numFmtId="0" fontId="81" fillId="0" borderId="12" xfId="10" applyBorder="1"/>
    <xf numFmtId="0" fontId="83" fillId="0" borderId="12" xfId="0" applyFont="1" applyBorder="1"/>
    <xf numFmtId="0" fontId="84" fillId="0" borderId="13" xfId="0" applyFont="1" applyBorder="1"/>
    <xf numFmtId="0" fontId="84" fillId="0" borderId="0" xfId="0" applyFont="1"/>
    <xf numFmtId="0" fontId="0" fillId="4" borderId="0" xfId="0" applyFill="1" applyAlignment="1">
      <alignment horizontal="center" vertical="center" wrapText="1"/>
    </xf>
    <xf numFmtId="0" fontId="0" fillId="4" borderId="0" xfId="0" applyFill="1" applyAlignment="1">
      <alignment vertical="center" wrapText="1"/>
    </xf>
    <xf numFmtId="0" fontId="74" fillId="20" borderId="18" xfId="0" applyFont="1" applyFill="1" applyBorder="1" applyAlignment="1">
      <alignment vertical="center"/>
    </xf>
    <xf numFmtId="0" fontId="74" fillId="20" borderId="20" xfId="0" applyFont="1" applyFill="1" applyBorder="1" applyAlignment="1">
      <alignment vertical="center"/>
    </xf>
    <xf numFmtId="0" fontId="4" fillId="3" borderId="28" xfId="0" applyFont="1" applyFill="1" applyBorder="1" applyAlignment="1">
      <alignment horizontal="center"/>
    </xf>
    <xf numFmtId="0" fontId="4" fillId="4" borderId="3" xfId="2" applyFont="1" applyFill="1" applyBorder="1"/>
    <xf numFmtId="0" fontId="0" fillId="4" borderId="7" xfId="0" applyFill="1" applyBorder="1"/>
    <xf numFmtId="0" fontId="0" fillId="4" borderId="3" xfId="0" applyFill="1" applyBorder="1"/>
    <xf numFmtId="0" fontId="67" fillId="3" borderId="45" xfId="0" applyFont="1" applyFill="1" applyBorder="1" applyAlignment="1">
      <alignment horizontal="center"/>
    </xf>
    <xf numFmtId="0" fontId="73" fillId="3" borderId="28" xfId="6" applyFont="1" applyFill="1" applyBorder="1" applyAlignment="1">
      <alignment horizontal="center"/>
    </xf>
    <xf numFmtId="0" fontId="13" fillId="3" borderId="28" xfId="6" applyFill="1" applyBorder="1" applyAlignment="1">
      <alignment horizontal="center"/>
    </xf>
    <xf numFmtId="0" fontId="68" fillId="0" borderId="18" xfId="0" applyFont="1" applyBorder="1"/>
    <xf numFmtId="0" fontId="68" fillId="0" borderId="20" xfId="0" applyFont="1" applyBorder="1"/>
    <xf numFmtId="0" fontId="0" fillId="3" borderId="45" xfId="0" applyFill="1" applyBorder="1"/>
    <xf numFmtId="0" fontId="8" fillId="9" borderId="10" xfId="4" applyBorder="1"/>
    <xf numFmtId="9" fontId="8" fillId="9" borderId="13" xfId="5" applyFont="1" applyFill="1" applyBorder="1"/>
    <xf numFmtId="0" fontId="8" fillId="9" borderId="15" xfId="4" applyBorder="1"/>
    <xf numFmtId="0" fontId="8" fillId="9" borderId="16" xfId="4" applyBorder="1"/>
    <xf numFmtId="0" fontId="6" fillId="7" borderId="13" xfId="2" applyBorder="1" applyAlignment="1">
      <alignment horizontal="right"/>
    </xf>
    <xf numFmtId="0" fontId="4" fillId="0" borderId="12" xfId="1" applyFont="1" applyFill="1" applyBorder="1"/>
    <xf numFmtId="0" fontId="4" fillId="0" borderId="14" xfId="1" applyFont="1" applyFill="1" applyBorder="1"/>
    <xf numFmtId="0" fontId="68" fillId="0" borderId="0" xfId="0" applyFont="1" applyAlignment="1">
      <alignment horizontal="center"/>
    </xf>
    <xf numFmtId="0" fontId="69" fillId="20" borderId="18" xfId="0" applyFont="1" applyFill="1" applyBorder="1" applyAlignment="1">
      <alignment horizontal="center" vertical="center"/>
    </xf>
    <xf numFmtId="0" fontId="6" fillId="7" borderId="4" xfId="2" applyBorder="1"/>
    <xf numFmtId="0" fontId="0" fillId="4" borderId="12" xfId="0" applyFill="1" applyBorder="1"/>
    <xf numFmtId="0" fontId="0" fillId="4" borderId="13" xfId="0" applyFill="1" applyBorder="1"/>
    <xf numFmtId="0" fontId="2" fillId="4" borderId="12" xfId="0" applyFont="1" applyFill="1" applyBorder="1"/>
    <xf numFmtId="0" fontId="2" fillId="4" borderId="0" xfId="0" applyFont="1" applyFill="1"/>
    <xf numFmtId="0" fontId="6" fillId="4" borderId="0" xfId="2" applyFill="1" applyBorder="1"/>
    <xf numFmtId="0" fontId="6" fillId="4" borderId="3" xfId="2" applyFill="1" applyBorder="1"/>
    <xf numFmtId="0" fontId="82" fillId="0" borderId="1" xfId="0" applyFont="1" applyBorder="1"/>
    <xf numFmtId="0" fontId="82" fillId="0" borderId="3" xfId="0" applyFont="1" applyBorder="1"/>
    <xf numFmtId="0" fontId="82" fillId="0" borderId="4" xfId="0" applyFont="1" applyBorder="1"/>
    <xf numFmtId="0" fontId="71" fillId="7" borderId="47" xfId="2" applyFont="1" applyBorder="1" applyAlignment="1">
      <alignment horizontal="center"/>
    </xf>
    <xf numFmtId="0" fontId="6" fillId="7" borderId="47" xfId="2" applyBorder="1" applyAlignment="1">
      <alignment horizontal="center"/>
    </xf>
    <xf numFmtId="0" fontId="74" fillId="20" borderId="18" xfId="0" applyFont="1" applyFill="1" applyBorder="1" applyAlignment="1">
      <alignment horizontal="center" vertical="center"/>
    </xf>
    <xf numFmtId="0" fontId="6" fillId="7" borderId="48" xfId="2" applyBorder="1"/>
    <xf numFmtId="0" fontId="74" fillId="20" borderId="18" xfId="0" applyFont="1" applyFill="1" applyBorder="1" applyAlignment="1">
      <alignment horizontal="left" vertical="center"/>
    </xf>
    <xf numFmtId="0" fontId="74" fillId="20" borderId="19" xfId="0" applyFont="1" applyFill="1" applyBorder="1" applyAlignment="1">
      <alignment horizontal="left" vertical="center"/>
    </xf>
    <xf numFmtId="0" fontId="17" fillId="20" borderId="9" xfId="0" applyFont="1" applyFill="1" applyBorder="1" applyAlignment="1">
      <alignment horizontal="center" vertical="center"/>
    </xf>
    <xf numFmtId="0" fontId="17" fillId="11" borderId="1" xfId="0" applyFont="1" applyFill="1" applyBorder="1" applyAlignment="1">
      <alignment horizontal="left" vertical="center"/>
    </xf>
    <xf numFmtId="0" fontId="63" fillId="23" borderId="1" xfId="0" applyFont="1" applyFill="1" applyBorder="1"/>
    <xf numFmtId="0" fontId="6" fillId="7" borderId="1" xfId="2" applyBorder="1"/>
    <xf numFmtId="0" fontId="6" fillId="7" borderId="2" xfId="2" applyBorder="1"/>
    <xf numFmtId="0" fontId="6" fillId="7" borderId="58" xfId="2" applyBorder="1"/>
    <xf numFmtId="0" fontId="87" fillId="23" borderId="28" xfId="0" applyFont="1" applyFill="1" applyBorder="1" applyAlignment="1">
      <alignment horizontal="center" vertical="center"/>
    </xf>
    <xf numFmtId="0" fontId="87" fillId="0" borderId="32" xfId="0" applyFont="1" applyBorder="1" applyAlignment="1">
      <alignment horizontal="center"/>
    </xf>
    <xf numFmtId="0" fontId="87" fillId="23" borderId="32" xfId="0" applyFont="1" applyFill="1" applyBorder="1" applyAlignment="1">
      <alignment horizontal="center"/>
    </xf>
    <xf numFmtId="0" fontId="87" fillId="23" borderId="32" xfId="0" applyFont="1" applyFill="1" applyBorder="1" applyAlignment="1">
      <alignment horizontal="center" vertical="center"/>
    </xf>
    <xf numFmtId="0" fontId="87" fillId="0" borderId="32" xfId="0" applyFont="1" applyBorder="1" applyAlignment="1">
      <alignment horizontal="center" vertical="center"/>
    </xf>
    <xf numFmtId="2" fontId="8" fillId="9" borderId="0" xfId="4" applyNumberFormat="1" applyBorder="1"/>
    <xf numFmtId="0" fontId="8" fillId="9" borderId="19" xfId="4" applyBorder="1"/>
    <xf numFmtId="0" fontId="8" fillId="40" borderId="0" xfId="4" applyFill="1" applyBorder="1"/>
    <xf numFmtId="0" fontId="8" fillId="41" borderId="21" xfId="4" applyFill="1"/>
    <xf numFmtId="0" fontId="0" fillId="41" borderId="0" xfId="0" applyFill="1"/>
    <xf numFmtId="0" fontId="0" fillId="41" borderId="13" xfId="0" applyFill="1" applyBorder="1"/>
    <xf numFmtId="0" fontId="2" fillId="41" borderId="0" xfId="0" applyFont="1" applyFill="1"/>
    <xf numFmtId="0" fontId="2" fillId="41" borderId="35" xfId="0" applyFont="1" applyFill="1" applyBorder="1"/>
    <xf numFmtId="0" fontId="2" fillId="41" borderId="13" xfId="0" applyFont="1" applyFill="1" applyBorder="1"/>
    <xf numFmtId="0" fontId="6" fillId="7" borderId="63" xfId="2" applyBorder="1"/>
    <xf numFmtId="0" fontId="0" fillId="20" borderId="12" xfId="0" applyFill="1" applyBorder="1"/>
    <xf numFmtId="0" fontId="0" fillId="20" borderId="14" xfId="0" applyFill="1" applyBorder="1"/>
    <xf numFmtId="0" fontId="6" fillId="7" borderId="62" xfId="2" applyBorder="1"/>
    <xf numFmtId="0" fontId="6" fillId="7" borderId="65" xfId="2" applyBorder="1"/>
    <xf numFmtId="0" fontId="74" fillId="20" borderId="19" xfId="0" applyFont="1" applyFill="1" applyBorder="1" applyAlignment="1">
      <alignment vertical="center"/>
    </xf>
    <xf numFmtId="0" fontId="0" fillId="20" borderId="18" xfId="0" applyFill="1" applyBorder="1"/>
    <xf numFmtId="0" fontId="89" fillId="0" borderId="0" xfId="0" applyFont="1"/>
    <xf numFmtId="0" fontId="75" fillId="0" borderId="0" xfId="0" applyFont="1"/>
    <xf numFmtId="0" fontId="0" fillId="0" borderId="0" xfId="0" applyAlignment="1">
      <alignment horizontal="left"/>
    </xf>
    <xf numFmtId="0" fontId="0" fillId="0" borderId="41" xfId="0" applyBorder="1"/>
    <xf numFmtId="2" fontId="0" fillId="0" borderId="43" xfId="0" applyNumberFormat="1" applyBorder="1"/>
    <xf numFmtId="0" fontId="90" fillId="0" borderId="0" xfId="0" applyFont="1"/>
    <xf numFmtId="0" fontId="91" fillId="0" borderId="0" xfId="0" applyFont="1" applyAlignment="1">
      <alignment horizontal="center"/>
    </xf>
    <xf numFmtId="0" fontId="2" fillId="35" borderId="18" xfId="0" applyFont="1" applyFill="1" applyBorder="1"/>
    <xf numFmtId="0" fontId="2" fillId="35" borderId="19" xfId="0" applyFont="1" applyFill="1" applyBorder="1" applyAlignment="1">
      <alignment horizontal="left"/>
    </xf>
    <xf numFmtId="0" fontId="77" fillId="4" borderId="2" xfId="0" applyFont="1" applyFill="1" applyBorder="1"/>
    <xf numFmtId="0" fontId="31" fillId="6" borderId="0" xfId="0" applyFont="1" applyFill="1"/>
    <xf numFmtId="0" fontId="2" fillId="6" borderId="0" xfId="0" applyFont="1" applyFill="1"/>
    <xf numFmtId="0" fontId="0" fillId="6" borderId="0" xfId="0" applyFill="1" applyAlignment="1">
      <alignment horizontal="center"/>
    </xf>
    <xf numFmtId="0" fontId="4" fillId="6" borderId="0" xfId="0" applyFont="1" applyFill="1" applyAlignment="1">
      <alignment horizontal="center"/>
    </xf>
    <xf numFmtId="0" fontId="16" fillId="6" borderId="0" xfId="0" applyFont="1" applyFill="1"/>
    <xf numFmtId="0" fontId="4" fillId="6" borderId="0" xfId="0" applyFont="1" applyFill="1"/>
    <xf numFmtId="0" fontId="4" fillId="6" borderId="0" xfId="2" applyFont="1" applyFill="1" applyBorder="1"/>
    <xf numFmtId="0" fontId="77" fillId="4" borderId="5" xfId="0" applyFont="1" applyFill="1" applyBorder="1"/>
    <xf numFmtId="0" fontId="0" fillId="4" borderId="5" xfId="0" applyFill="1" applyBorder="1"/>
    <xf numFmtId="0" fontId="0" fillId="39" borderId="2" xfId="0" applyFill="1" applyBorder="1"/>
    <xf numFmtId="0" fontId="0" fillId="39" borderId="10" xfId="0" applyFill="1" applyBorder="1"/>
    <xf numFmtId="0" fontId="0" fillId="39" borderId="11" xfId="0" applyFill="1" applyBorder="1"/>
    <xf numFmtId="0" fontId="77" fillId="4" borderId="13" xfId="0" applyFont="1" applyFill="1" applyBorder="1"/>
    <xf numFmtId="0" fontId="77" fillId="34" borderId="2" xfId="0" applyFont="1" applyFill="1" applyBorder="1"/>
    <xf numFmtId="0" fontId="77" fillId="34" borderId="15" xfId="0" applyFont="1" applyFill="1" applyBorder="1"/>
    <xf numFmtId="0" fontId="77" fillId="34" borderId="29" xfId="0" applyFont="1" applyFill="1" applyBorder="1"/>
    <xf numFmtId="0" fontId="77" fillId="34" borderId="44" xfId="0" applyFont="1" applyFill="1" applyBorder="1"/>
    <xf numFmtId="0" fontId="77" fillId="34" borderId="67" xfId="0" applyFont="1" applyFill="1" applyBorder="1"/>
    <xf numFmtId="0" fontId="77" fillId="5" borderId="44" xfId="0" applyFont="1" applyFill="1" applyBorder="1"/>
    <xf numFmtId="0" fontId="77" fillId="18" borderId="68" xfId="0" applyFont="1" applyFill="1" applyBorder="1"/>
    <xf numFmtId="0" fontId="77" fillId="18" borderId="44" xfId="0" applyFont="1" applyFill="1" applyBorder="1"/>
    <xf numFmtId="0" fontId="77" fillId="4" borderId="44" xfId="0" applyFont="1" applyFill="1" applyBorder="1"/>
    <xf numFmtId="0" fontId="77" fillId="4" borderId="67" xfId="0" applyFont="1" applyFill="1" applyBorder="1"/>
    <xf numFmtId="0" fontId="77" fillId="19" borderId="2" xfId="0" applyFont="1" applyFill="1" applyBorder="1"/>
    <xf numFmtId="0" fontId="77" fillId="4" borderId="29" xfId="0" applyFont="1" applyFill="1" applyBorder="1"/>
    <xf numFmtId="0" fontId="77" fillId="4" borderId="45" xfId="0" applyFont="1" applyFill="1" applyBorder="1"/>
    <xf numFmtId="0" fontId="77" fillId="34" borderId="45" xfId="0" applyFont="1" applyFill="1" applyBorder="1"/>
    <xf numFmtId="0" fontId="77" fillId="42" borderId="18" xfId="0" applyFont="1" applyFill="1" applyBorder="1" applyAlignment="1">
      <alignment horizontal="center" vertical="center" wrapText="1"/>
    </xf>
    <xf numFmtId="0" fontId="77" fillId="32" borderId="10" xfId="0" applyFont="1" applyFill="1" applyBorder="1"/>
    <xf numFmtId="0" fontId="77" fillId="32" borderId="11" xfId="0" applyFont="1" applyFill="1" applyBorder="1"/>
    <xf numFmtId="0" fontId="77" fillId="37" borderId="15" xfId="0" applyFont="1" applyFill="1" applyBorder="1"/>
    <xf numFmtId="0" fontId="77" fillId="37" borderId="16" xfId="0" applyFont="1" applyFill="1" applyBorder="1"/>
    <xf numFmtId="0" fontId="77" fillId="34" borderId="13" xfId="0" applyFont="1" applyFill="1" applyBorder="1"/>
    <xf numFmtId="0" fontId="77" fillId="34" borderId="16" xfId="0" applyFont="1" applyFill="1" applyBorder="1"/>
    <xf numFmtId="0" fontId="78" fillId="37" borderId="69" xfId="0" applyFont="1" applyFill="1" applyBorder="1" applyAlignment="1">
      <alignment horizontal="center" vertical="center" wrapText="1"/>
    </xf>
    <xf numFmtId="0" fontId="78" fillId="4" borderId="67" xfId="0" applyFont="1" applyFill="1" applyBorder="1" applyAlignment="1">
      <alignment horizontal="center" vertical="center" wrapText="1"/>
    </xf>
    <xf numFmtId="0" fontId="78" fillId="4" borderId="3" xfId="0" applyFont="1" applyFill="1" applyBorder="1" applyAlignment="1">
      <alignment horizontal="center"/>
    </xf>
    <xf numFmtId="0" fontId="0" fillId="34" borderId="13" xfId="0" applyFill="1" applyBorder="1"/>
    <xf numFmtId="0" fontId="0" fillId="32" borderId="20" xfId="0" applyFill="1" applyBorder="1"/>
    <xf numFmtId="0" fontId="77" fillId="32" borderId="20" xfId="0" applyFont="1" applyFill="1" applyBorder="1" applyAlignment="1">
      <alignment horizontal="center"/>
    </xf>
    <xf numFmtId="0" fontId="77" fillId="18" borderId="10" xfId="0" applyFont="1" applyFill="1" applyBorder="1"/>
    <xf numFmtId="0" fontId="77" fillId="18" borderId="10" xfId="0" applyFont="1" applyFill="1" applyBorder="1" applyAlignment="1">
      <alignment horizontal="center"/>
    </xf>
    <xf numFmtId="0" fontId="77" fillId="4" borderId="2" xfId="0" applyFont="1" applyFill="1" applyBorder="1" applyAlignment="1">
      <alignment horizontal="center"/>
    </xf>
    <xf numFmtId="0" fontId="77" fillId="34" borderId="2" xfId="0" applyFont="1" applyFill="1" applyBorder="1" applyAlignment="1">
      <alignment horizontal="center"/>
    </xf>
    <xf numFmtId="0" fontId="77" fillId="4" borderId="58" xfId="0" applyFont="1" applyFill="1" applyBorder="1"/>
    <xf numFmtId="0" fontId="77" fillId="4" borderId="58" xfId="0" applyFont="1" applyFill="1" applyBorder="1" applyAlignment="1">
      <alignment horizontal="center"/>
    </xf>
    <xf numFmtId="0" fontId="78" fillId="39" borderId="68" xfId="0" applyFont="1" applyFill="1" applyBorder="1"/>
    <xf numFmtId="0" fontId="77" fillId="5" borderId="45" xfId="0" applyFont="1" applyFill="1" applyBorder="1"/>
    <xf numFmtId="0" fontId="78" fillId="39" borderId="29" xfId="0" applyFont="1" applyFill="1" applyBorder="1"/>
    <xf numFmtId="0" fontId="77" fillId="32" borderId="44" xfId="0" applyFont="1" applyFill="1" applyBorder="1"/>
    <xf numFmtId="0" fontId="78" fillId="42" borderId="44" xfId="0" applyFont="1" applyFill="1" applyBorder="1"/>
    <xf numFmtId="0" fontId="78" fillId="19" borderId="29" xfId="0" applyFont="1" applyFill="1" applyBorder="1"/>
    <xf numFmtId="0" fontId="78" fillId="19" borderId="44" xfId="0" applyFont="1" applyFill="1" applyBorder="1"/>
    <xf numFmtId="0" fontId="77" fillId="4" borderId="44" xfId="0" applyFont="1" applyFill="1" applyBorder="1" applyAlignment="1">
      <alignment horizontal="left" vertical="center" wrapText="1"/>
    </xf>
    <xf numFmtId="0" fontId="77" fillId="4" borderId="44" xfId="0" applyFont="1" applyFill="1" applyBorder="1" applyAlignment="1">
      <alignment horizontal="left"/>
    </xf>
    <xf numFmtId="0" fontId="78" fillId="19" borderId="44" xfId="0" applyFont="1" applyFill="1" applyBorder="1" applyAlignment="1">
      <alignment horizontal="left" vertical="center" wrapText="1"/>
    </xf>
    <xf numFmtId="0" fontId="77" fillId="4" borderId="45" xfId="0" applyFont="1" applyFill="1" applyBorder="1" applyAlignment="1">
      <alignment horizontal="left"/>
    </xf>
    <xf numFmtId="0" fontId="77" fillId="32" borderId="68" xfId="0" applyFont="1" applyFill="1" applyBorder="1"/>
    <xf numFmtId="0" fontId="77" fillId="37" borderId="67" xfId="0" applyFont="1" applyFill="1" applyBorder="1"/>
    <xf numFmtId="0" fontId="64" fillId="6" borderId="0" xfId="7" applyFont="1" applyFill="1" applyBorder="1" applyAlignment="1">
      <alignment horizontal="center"/>
    </xf>
    <xf numFmtId="0" fontId="86" fillId="6" borderId="0" xfId="1" applyFont="1" applyFill="1" applyBorder="1" applyAlignment="1"/>
    <xf numFmtId="0" fontId="3" fillId="6" borderId="0" xfId="1" applyFill="1" applyBorder="1" applyAlignment="1"/>
    <xf numFmtId="0" fontId="6" fillId="6" borderId="0" xfId="2" applyFill="1" applyBorder="1"/>
    <xf numFmtId="0" fontId="0" fillId="4" borderId="13" xfId="0" applyFill="1" applyBorder="1" applyAlignment="1">
      <alignment horizontal="left"/>
    </xf>
    <xf numFmtId="0" fontId="0" fillId="4" borderId="12" xfId="0" applyFill="1" applyBorder="1" applyAlignment="1">
      <alignment vertical="center" wrapText="1"/>
    </xf>
    <xf numFmtId="0" fontId="0" fillId="34" borderId="12" xfId="0" applyFill="1" applyBorder="1"/>
    <xf numFmtId="0" fontId="0" fillId="34" borderId="13" xfId="0" applyFill="1" applyBorder="1" applyAlignment="1">
      <alignment horizontal="left"/>
    </xf>
    <xf numFmtId="0" fontId="2" fillId="19" borderId="12" xfId="0" applyFont="1" applyFill="1" applyBorder="1"/>
    <xf numFmtId="0" fontId="2" fillId="19" borderId="13" xfId="0" applyFont="1" applyFill="1" applyBorder="1" applyAlignment="1">
      <alignment wrapText="1"/>
    </xf>
    <xf numFmtId="0" fontId="0" fillId="6" borderId="0" xfId="0" applyFill="1" applyAlignment="1">
      <alignment vertical="center" wrapText="1"/>
    </xf>
    <xf numFmtId="0" fontId="0" fillId="6" borderId="3" xfId="0" applyFill="1" applyBorder="1"/>
    <xf numFmtId="0" fontId="88" fillId="6" borderId="0" xfId="0" applyFont="1" applyFill="1" applyAlignment="1">
      <alignment horizontal="center" vertical="center"/>
    </xf>
    <xf numFmtId="0" fontId="88" fillId="6" borderId="0" xfId="0" applyFont="1" applyFill="1"/>
    <xf numFmtId="0" fontId="78" fillId="42" borderId="68" xfId="0" applyFont="1" applyFill="1" applyBorder="1"/>
    <xf numFmtId="0" fontId="0" fillId="42" borderId="10" xfId="0" applyFill="1" applyBorder="1"/>
    <xf numFmtId="0" fontId="93" fillId="32" borderId="12" xfId="1" applyFont="1" applyFill="1" applyBorder="1" applyAlignment="1">
      <alignment horizontal="center" vertical="center"/>
    </xf>
    <xf numFmtId="0" fontId="93" fillId="32" borderId="13" xfId="1" applyFont="1" applyFill="1" applyBorder="1" applyAlignment="1">
      <alignment horizontal="center" vertical="center"/>
    </xf>
    <xf numFmtId="0" fontId="6" fillId="7" borderId="60" xfId="2" applyBorder="1"/>
    <xf numFmtId="0" fontId="70" fillId="20" borderId="19" xfId="0" applyFont="1" applyFill="1" applyBorder="1"/>
    <xf numFmtId="0" fontId="70" fillId="20" borderId="0" xfId="0" applyFont="1" applyFill="1"/>
    <xf numFmtId="0" fontId="0" fillId="20" borderId="46" xfId="0" applyFill="1" applyBorder="1"/>
    <xf numFmtId="0" fontId="67" fillId="3" borderId="28" xfId="0" applyFont="1" applyFill="1" applyBorder="1" applyAlignment="1">
      <alignment horizontal="center" vertical="center"/>
    </xf>
    <xf numFmtId="2" fontId="6" fillId="7" borderId="47" xfId="2" applyNumberFormat="1" applyBorder="1"/>
    <xf numFmtId="2" fontId="6" fillId="7" borderId="63" xfId="2" applyNumberFormat="1" applyBorder="1"/>
    <xf numFmtId="2" fontId="6" fillId="7" borderId="65" xfId="2" applyNumberFormat="1" applyBorder="1"/>
    <xf numFmtId="0" fontId="70" fillId="3" borderId="64" xfId="0" applyFont="1" applyFill="1" applyBorder="1"/>
    <xf numFmtId="0" fontId="4" fillId="3" borderId="45" xfId="0" applyFont="1" applyFill="1" applyBorder="1" applyAlignment="1">
      <alignment horizontal="center"/>
    </xf>
    <xf numFmtId="0" fontId="67" fillId="3" borderId="57" xfId="0" applyFont="1" applyFill="1" applyBorder="1"/>
    <xf numFmtId="0" fontId="71" fillId="7" borderId="70" xfId="2" applyFont="1" applyBorder="1" applyAlignment="1">
      <alignment horizontal="center" vertical="center"/>
    </xf>
    <xf numFmtId="0" fontId="71" fillId="7" borderId="63" xfId="2" applyFont="1" applyBorder="1" applyAlignment="1">
      <alignment horizontal="center" vertical="center"/>
    </xf>
    <xf numFmtId="0" fontId="6" fillId="7" borderId="45" xfId="2" applyBorder="1"/>
    <xf numFmtId="0" fontId="6" fillId="7" borderId="70" xfId="2" applyBorder="1"/>
    <xf numFmtId="0" fontId="74" fillId="20" borderId="61" xfId="0" applyFont="1" applyFill="1" applyBorder="1" applyAlignment="1">
      <alignment vertical="center"/>
    </xf>
    <xf numFmtId="0" fontId="74" fillId="20" borderId="74" xfId="0" applyFont="1" applyFill="1" applyBorder="1" applyAlignment="1">
      <alignment vertical="center"/>
    </xf>
    <xf numFmtId="0" fontId="0" fillId="20" borderId="73" xfId="0" applyFill="1" applyBorder="1"/>
    <xf numFmtId="0" fontId="0" fillId="20" borderId="75" xfId="0" applyFill="1" applyBorder="1"/>
    <xf numFmtId="0" fontId="74" fillId="20" borderId="19" xfId="0" applyFont="1" applyFill="1" applyBorder="1"/>
    <xf numFmtId="0" fontId="71" fillId="7" borderId="65" xfId="2" applyFont="1" applyBorder="1" applyAlignment="1">
      <alignment horizontal="center"/>
    </xf>
    <xf numFmtId="0" fontId="73" fillId="3" borderId="49" xfId="6" applyFont="1" applyFill="1" applyBorder="1"/>
    <xf numFmtId="0" fontId="72" fillId="7" borderId="47" xfId="2" applyFont="1" applyBorder="1" applyAlignment="1">
      <alignment horizontal="center"/>
    </xf>
    <xf numFmtId="0" fontId="70" fillId="3" borderId="57" xfId="0" applyFont="1" applyFill="1" applyBorder="1"/>
    <xf numFmtId="0" fontId="6" fillId="7" borderId="63" xfId="2" applyBorder="1" applyAlignment="1">
      <alignment horizontal="center"/>
    </xf>
    <xf numFmtId="0" fontId="13" fillId="3" borderId="45" xfId="6" applyFill="1" applyBorder="1" applyAlignment="1">
      <alignment horizontal="center"/>
    </xf>
    <xf numFmtId="0" fontId="13" fillId="3" borderId="64" xfId="6" applyFill="1" applyBorder="1"/>
    <xf numFmtId="0" fontId="6" fillId="7" borderId="65" xfId="2" applyBorder="1" applyAlignment="1">
      <alignment horizontal="center"/>
    </xf>
    <xf numFmtId="0" fontId="13" fillId="3" borderId="49" xfId="6" applyFill="1" applyBorder="1"/>
    <xf numFmtId="0" fontId="66" fillId="7" borderId="47" xfId="2" applyFont="1" applyBorder="1" applyAlignment="1">
      <alignment horizontal="center"/>
    </xf>
    <xf numFmtId="0" fontId="6" fillId="7" borderId="72" xfId="2" applyBorder="1"/>
    <xf numFmtId="0" fontId="69" fillId="20" borderId="19" xfId="0" applyFont="1" applyFill="1" applyBorder="1"/>
    <xf numFmtId="0" fontId="70" fillId="3" borderId="49" xfId="0" applyFont="1" applyFill="1" applyBorder="1" applyAlignment="1">
      <alignment horizontal="left" vertical="center" wrapText="1"/>
    </xf>
    <xf numFmtId="0" fontId="71" fillId="7" borderId="47" xfId="2" applyFont="1" applyBorder="1" applyAlignment="1">
      <alignment horizontal="center" vertical="center"/>
    </xf>
    <xf numFmtId="0" fontId="4" fillId="3" borderId="70" xfId="0" applyFont="1" applyFill="1" applyBorder="1" applyAlignment="1">
      <alignment horizontal="center"/>
    </xf>
    <xf numFmtId="0" fontId="68" fillId="20" borderId="18" xfId="0" applyFont="1" applyFill="1" applyBorder="1"/>
    <xf numFmtId="0" fontId="94" fillId="20" borderId="18" xfId="0" applyFont="1" applyFill="1" applyBorder="1" applyAlignment="1">
      <alignment horizontal="center"/>
    </xf>
    <xf numFmtId="0" fontId="69" fillId="20" borderId="18" xfId="0" applyFont="1" applyFill="1" applyBorder="1" applyAlignment="1">
      <alignment horizontal="left" vertical="center"/>
    </xf>
    <xf numFmtId="0" fontId="69" fillId="20" borderId="20" xfId="0" applyFont="1" applyFill="1" applyBorder="1" applyAlignment="1">
      <alignment horizontal="left" vertical="center"/>
    </xf>
    <xf numFmtId="0" fontId="74" fillId="20" borderId="19" xfId="0" applyFont="1" applyFill="1" applyBorder="1" applyAlignment="1">
      <alignment horizontal="left"/>
    </xf>
    <xf numFmtId="0" fontId="6" fillId="7" borderId="65" xfId="2" applyBorder="1" applyAlignment="1">
      <alignment horizontal="left"/>
    </xf>
    <xf numFmtId="0" fontId="6" fillId="7" borderId="47" xfId="2" applyBorder="1" applyAlignment="1">
      <alignment horizontal="left"/>
    </xf>
    <xf numFmtId="0" fontId="6" fillId="7" borderId="63" xfId="2" applyBorder="1" applyAlignment="1">
      <alignment horizontal="left"/>
    </xf>
    <xf numFmtId="0" fontId="0" fillId="20" borderId="73" xfId="0" applyFill="1" applyBorder="1" applyAlignment="1">
      <alignment horizontal="left"/>
    </xf>
    <xf numFmtId="0" fontId="0" fillId="20" borderId="46" xfId="0" applyFill="1" applyBorder="1" applyAlignment="1">
      <alignment horizontal="left"/>
    </xf>
    <xf numFmtId="0" fontId="0" fillId="20" borderId="75" xfId="0" applyFill="1" applyBorder="1" applyAlignment="1">
      <alignment horizontal="left"/>
    </xf>
    <xf numFmtId="0" fontId="95" fillId="20" borderId="19" xfId="0" applyFont="1" applyFill="1" applyBorder="1"/>
    <xf numFmtId="0" fontId="68" fillId="20" borderId="20" xfId="0" applyFont="1" applyFill="1" applyBorder="1"/>
    <xf numFmtId="0" fontId="94" fillId="20" borderId="20" xfId="0" applyFont="1" applyFill="1" applyBorder="1" applyAlignment="1">
      <alignment horizontal="left"/>
    </xf>
    <xf numFmtId="0" fontId="2" fillId="35" borderId="19" xfId="0" applyFont="1" applyFill="1" applyBorder="1"/>
    <xf numFmtId="0" fontId="2" fillId="19" borderId="13" xfId="0" applyFont="1" applyFill="1" applyBorder="1" applyAlignment="1">
      <alignment horizontal="left" wrapText="1"/>
    </xf>
    <xf numFmtId="0" fontId="96" fillId="19" borderId="13" xfId="0" applyFont="1" applyFill="1" applyBorder="1" applyAlignment="1">
      <alignment wrapText="1"/>
    </xf>
    <xf numFmtId="0" fontId="0" fillId="4" borderId="12" xfId="0" applyFill="1" applyBorder="1" applyAlignment="1">
      <alignment wrapText="1"/>
    </xf>
    <xf numFmtId="2" fontId="0" fillId="4" borderId="13" xfId="0" applyNumberFormat="1" applyFill="1" applyBorder="1" applyAlignment="1">
      <alignment horizontal="left"/>
    </xf>
    <xf numFmtId="2" fontId="0" fillId="34" borderId="13" xfId="0" applyNumberFormat="1" applyFill="1" applyBorder="1" applyAlignment="1">
      <alignment horizontal="left"/>
    </xf>
    <xf numFmtId="2" fontId="0" fillId="34" borderId="13" xfId="0" applyNumberFormat="1" applyFill="1" applyBorder="1"/>
    <xf numFmtId="2" fontId="2" fillId="35" borderId="19" xfId="0" applyNumberFormat="1" applyFont="1" applyFill="1" applyBorder="1" applyAlignment="1">
      <alignment horizontal="left"/>
    </xf>
    <xf numFmtId="0" fontId="0" fillId="34" borderId="12" xfId="0" applyFill="1" applyBorder="1" applyAlignment="1">
      <alignment wrapText="1"/>
    </xf>
    <xf numFmtId="0" fontId="0" fillId="6" borderId="77" xfId="0" applyFill="1" applyBorder="1" applyAlignment="1">
      <alignment horizontal="center"/>
    </xf>
    <xf numFmtId="0" fontId="0" fillId="5" borderId="18" xfId="0" applyFill="1" applyBorder="1"/>
    <xf numFmtId="0" fontId="0" fillId="5" borderId="20" xfId="0" applyFill="1" applyBorder="1"/>
    <xf numFmtId="0" fontId="0" fillId="6" borderId="19" xfId="0" applyFill="1" applyBorder="1"/>
    <xf numFmtId="0" fontId="0" fillId="6" borderId="9" xfId="0" applyFill="1" applyBorder="1"/>
    <xf numFmtId="0" fontId="0" fillId="6" borderId="10" xfId="0" applyFill="1" applyBorder="1"/>
    <xf numFmtId="0" fontId="0" fillId="6" borderId="11" xfId="0" applyFill="1" applyBorder="1"/>
    <xf numFmtId="0" fontId="0" fillId="6" borderId="12" xfId="0" applyFill="1" applyBorder="1"/>
    <xf numFmtId="0" fontId="0" fillId="6" borderId="13" xfId="0" applyFill="1" applyBorder="1"/>
    <xf numFmtId="0" fontId="0" fillId="6" borderId="14" xfId="0" applyFill="1" applyBorder="1"/>
    <xf numFmtId="0" fontId="0" fillId="6" borderId="15" xfId="0" applyFill="1" applyBorder="1"/>
    <xf numFmtId="0" fontId="0" fillId="6" borderId="16" xfId="0" applyFill="1" applyBorder="1"/>
    <xf numFmtId="0" fontId="3" fillId="0" borderId="0" xfId="11" applyBorder="1"/>
    <xf numFmtId="10" fontId="4" fillId="0" borderId="13" xfId="12" applyNumberFormat="1" applyFont="1" applyBorder="1"/>
    <xf numFmtId="0" fontId="3" fillId="0" borderId="12" xfId="11" applyBorder="1"/>
    <xf numFmtId="0" fontId="3" fillId="0" borderId="0" xfId="11" quotePrefix="1" applyFill="1"/>
    <xf numFmtId="0" fontId="3" fillId="0" borderId="0" xfId="11" applyFill="1" applyBorder="1"/>
    <xf numFmtId="0" fontId="3" fillId="0" borderId="14" xfId="11" applyBorder="1"/>
    <xf numFmtId="0" fontId="3" fillId="0" borderId="12" xfId="11" applyFill="1" applyBorder="1"/>
    <xf numFmtId="0" fontId="3" fillId="0" borderId="3" xfId="11" applyBorder="1"/>
    <xf numFmtId="0" fontId="3" fillId="0" borderId="3" xfId="11" applyFill="1" applyBorder="1"/>
    <xf numFmtId="0" fontId="3" fillId="0" borderId="0" xfId="11"/>
    <xf numFmtId="0" fontId="0" fillId="3" borderId="9" xfId="0" applyFill="1" applyBorder="1"/>
    <xf numFmtId="0" fontId="21" fillId="0" borderId="0" xfId="11" applyFont="1"/>
    <xf numFmtId="0" fontId="21" fillId="0" borderId="0" xfId="0" applyFont="1" applyAlignment="1">
      <alignment wrapText="1"/>
    </xf>
    <xf numFmtId="0" fontId="20" fillId="0" borderId="0" xfId="0" applyFont="1" applyAlignment="1">
      <alignment wrapText="1"/>
    </xf>
    <xf numFmtId="2" fontId="24" fillId="0" borderId="0" xfId="11" applyNumberFormat="1" applyFont="1" applyAlignment="1">
      <alignment horizontal="center"/>
    </xf>
    <xf numFmtId="166" fontId="4" fillId="0" borderId="0" xfId="0" applyNumberFormat="1" applyFont="1" applyAlignment="1">
      <alignment horizontal="center"/>
    </xf>
    <xf numFmtId="0" fontId="2" fillId="0" borderId="14" xfId="0" applyFont="1" applyBorder="1"/>
    <xf numFmtId="166" fontId="0" fillId="0" borderId="15" xfId="0" applyNumberFormat="1" applyBorder="1"/>
    <xf numFmtId="0" fontId="2" fillId="11" borderId="0" xfId="0" applyFont="1" applyFill="1"/>
    <xf numFmtId="165" fontId="81" fillId="0" borderId="0" xfId="10" applyNumberFormat="1"/>
    <xf numFmtId="166" fontId="0" fillId="2" borderId="0" xfId="0" applyNumberFormat="1" applyFill="1"/>
    <xf numFmtId="0" fontId="63" fillId="3" borderId="1" xfId="0" applyFont="1" applyFill="1" applyBorder="1"/>
    <xf numFmtId="0" fontId="4" fillId="3" borderId="3" xfId="0" applyFont="1" applyFill="1" applyBorder="1"/>
    <xf numFmtId="0" fontId="4" fillId="23" borderId="1" xfId="0" applyFont="1" applyFill="1" applyBorder="1"/>
    <xf numFmtId="0" fontId="4" fillId="3" borderId="1" xfId="0" applyFont="1" applyFill="1" applyBorder="1"/>
    <xf numFmtId="0" fontId="4" fillId="3" borderId="49" xfId="0" applyFont="1" applyFill="1" applyBorder="1"/>
    <xf numFmtId="0" fontId="4" fillId="3" borderId="28" xfId="0" applyFont="1" applyFill="1" applyBorder="1"/>
    <xf numFmtId="0" fontId="63" fillId="3" borderId="28" xfId="0" applyFont="1" applyFill="1" applyBorder="1"/>
    <xf numFmtId="0" fontId="16" fillId="28" borderId="28" xfId="0" applyFont="1" applyFill="1" applyBorder="1"/>
    <xf numFmtId="0" fontId="63" fillId="3" borderId="70" xfId="0" applyFont="1" applyFill="1" applyBorder="1"/>
    <xf numFmtId="0" fontId="4" fillId="23" borderId="28" xfId="0" applyFont="1" applyFill="1" applyBorder="1"/>
    <xf numFmtId="0" fontId="4" fillId="23" borderId="28" xfId="0" applyFont="1" applyFill="1" applyBorder="1" applyAlignment="1">
      <alignment horizontal="center"/>
    </xf>
    <xf numFmtId="0" fontId="2" fillId="0" borderId="56" xfId="0" applyFont="1" applyBorder="1" applyAlignment="1">
      <alignment wrapText="1"/>
    </xf>
    <xf numFmtId="0" fontId="2" fillId="0" borderId="56" xfId="0" applyFont="1" applyBorder="1"/>
    <xf numFmtId="0" fontId="2" fillId="0" borderId="72" xfId="0" applyFont="1" applyBorder="1"/>
    <xf numFmtId="0" fontId="4" fillId="3" borderId="70" xfId="0" applyFont="1" applyFill="1" applyBorder="1"/>
    <xf numFmtId="0" fontId="16" fillId="21" borderId="19" xfId="0" applyFont="1" applyFill="1" applyBorder="1" applyAlignment="1">
      <alignment horizontal="center" vertical="center"/>
    </xf>
    <xf numFmtId="0" fontId="2" fillId="20" borderId="19" xfId="0" applyFont="1" applyFill="1" applyBorder="1"/>
    <xf numFmtId="0" fontId="16" fillId="43" borderId="80" xfId="0" applyFont="1" applyFill="1" applyBorder="1"/>
    <xf numFmtId="0" fontId="16" fillId="43" borderId="74" xfId="0" applyFont="1" applyFill="1" applyBorder="1"/>
    <xf numFmtId="166" fontId="0" fillId="6" borderId="0" xfId="0" applyNumberFormat="1" applyFill="1"/>
    <xf numFmtId="0" fontId="92" fillId="21" borderId="18" xfId="0" applyFont="1" applyFill="1" applyBorder="1" applyAlignment="1">
      <alignment horizontal="center" vertical="center"/>
    </xf>
    <xf numFmtId="0" fontId="0" fillId="21" borderId="69" xfId="0" applyFill="1" applyBorder="1" applyAlignment="1">
      <alignment horizontal="center" vertical="center" wrapText="1"/>
    </xf>
    <xf numFmtId="0" fontId="6" fillId="21" borderId="69" xfId="2" applyFill="1" applyBorder="1" applyAlignment="1">
      <alignment horizontal="center" vertical="center" wrapText="1"/>
    </xf>
    <xf numFmtId="0" fontId="6" fillId="21" borderId="61" xfId="2" applyFill="1" applyBorder="1" applyAlignment="1">
      <alignment horizontal="center" vertical="center" wrapText="1"/>
    </xf>
    <xf numFmtId="0" fontId="0" fillId="6" borderId="0" xfId="0" applyFill="1" applyAlignment="1">
      <alignment vertical="center"/>
    </xf>
    <xf numFmtId="0" fontId="0" fillId="0" borderId="45" xfId="0" applyBorder="1" applyAlignment="1">
      <alignment vertical="center" wrapText="1"/>
    </xf>
    <xf numFmtId="0" fontId="0" fillId="0" borderId="45" xfId="0" applyBorder="1" applyAlignment="1">
      <alignment horizontal="center" vertical="center"/>
    </xf>
    <xf numFmtId="0" fontId="0" fillId="0" borderId="28" xfId="0" applyBorder="1" applyAlignment="1">
      <alignment vertical="center" wrapText="1"/>
    </xf>
    <xf numFmtId="0" fontId="0" fillId="0" borderId="28" xfId="0" applyBorder="1" applyAlignment="1">
      <alignment horizontal="center" vertical="center"/>
    </xf>
    <xf numFmtId="0" fontId="6" fillId="7" borderId="32" xfId="2" applyBorder="1"/>
    <xf numFmtId="0" fontId="6" fillId="36" borderId="28" xfId="2" applyFill="1" applyBorder="1"/>
    <xf numFmtId="0" fontId="0" fillId="0" borderId="28" xfId="0" applyBorder="1" applyAlignment="1">
      <alignment horizontal="center"/>
    </xf>
    <xf numFmtId="0" fontId="0" fillId="0" borderId="28" xfId="0" applyBorder="1" applyAlignment="1">
      <alignment vertical="center"/>
    </xf>
    <xf numFmtId="0" fontId="0" fillId="0" borderId="29" xfId="0" applyBorder="1" applyAlignment="1">
      <alignment vertical="center"/>
    </xf>
    <xf numFmtId="0" fontId="0" fillId="36" borderId="32" xfId="0" applyFill="1" applyBorder="1"/>
    <xf numFmtId="0" fontId="6" fillId="36" borderId="32" xfId="2" applyFill="1" applyBorder="1"/>
    <xf numFmtId="0" fontId="0" fillId="0" borderId="45" xfId="0" applyBorder="1" applyAlignment="1">
      <alignment vertical="center"/>
    </xf>
    <xf numFmtId="0" fontId="6" fillId="7" borderId="0" xfId="2" applyBorder="1" applyAlignment="1">
      <alignment vertical="center"/>
    </xf>
    <xf numFmtId="0" fontId="0" fillId="3" borderId="28" xfId="0" applyFill="1" applyBorder="1" applyAlignment="1">
      <alignment horizontal="center" vertical="center"/>
    </xf>
    <xf numFmtId="0" fontId="6" fillId="7" borderId="28" xfId="2" applyBorder="1" applyAlignment="1">
      <alignment vertical="center"/>
    </xf>
    <xf numFmtId="0" fontId="6" fillId="7" borderId="28" xfId="2" applyBorder="1" applyAlignment="1" applyProtection="1">
      <alignment vertical="center"/>
    </xf>
    <xf numFmtId="0" fontId="0" fillId="6" borderId="0" xfId="0" applyFill="1" applyAlignment="1">
      <alignment wrapText="1"/>
    </xf>
    <xf numFmtId="0" fontId="6" fillId="7" borderId="28" xfId="2" applyBorder="1" applyAlignment="1">
      <alignment horizontal="center"/>
    </xf>
    <xf numFmtId="0" fontId="6" fillId="7" borderId="70" xfId="2" applyBorder="1" applyAlignment="1">
      <alignment horizontal="center"/>
    </xf>
    <xf numFmtId="0" fontId="92" fillId="20" borderId="18" xfId="0" applyFont="1" applyFill="1" applyBorder="1" applyAlignment="1">
      <alignment horizontal="center" vertical="center"/>
    </xf>
    <xf numFmtId="0" fontId="92" fillId="21" borderId="20" xfId="0" applyFont="1" applyFill="1" applyBorder="1" applyAlignment="1">
      <alignment horizontal="center"/>
    </xf>
    <xf numFmtId="0" fontId="92" fillId="21" borderId="19" xfId="0" applyFont="1" applyFill="1" applyBorder="1" applyAlignment="1">
      <alignment horizontal="center"/>
    </xf>
    <xf numFmtId="0" fontId="6" fillId="7" borderId="45" xfId="2" applyBorder="1" applyAlignment="1">
      <alignment horizontal="center"/>
    </xf>
    <xf numFmtId="0" fontId="0" fillId="3" borderId="45" xfId="0" applyFill="1" applyBorder="1" applyAlignment="1">
      <alignment horizontal="center" vertical="center"/>
    </xf>
    <xf numFmtId="0" fontId="16" fillId="20" borderId="18" xfId="0" applyFont="1" applyFill="1" applyBorder="1" applyAlignment="1">
      <alignment horizontal="center" vertical="center"/>
    </xf>
    <xf numFmtId="0" fontId="6" fillId="7" borderId="29" xfId="2" applyBorder="1" applyAlignment="1">
      <alignment vertical="center"/>
    </xf>
    <xf numFmtId="0" fontId="6" fillId="7" borderId="45" xfId="2" applyBorder="1" applyAlignment="1">
      <alignment vertical="center"/>
    </xf>
    <xf numFmtId="0" fontId="4" fillId="11" borderId="18" xfId="0" applyFont="1" applyFill="1" applyBorder="1" applyAlignment="1">
      <alignment vertical="center"/>
    </xf>
    <xf numFmtId="0" fontId="16" fillId="20" borderId="19" xfId="2" applyFont="1" applyFill="1" applyBorder="1" applyAlignment="1">
      <alignment vertical="center"/>
    </xf>
    <xf numFmtId="0" fontId="6" fillId="7" borderId="45" xfId="2" applyBorder="1" applyAlignment="1" applyProtection="1">
      <alignment vertical="center"/>
    </xf>
    <xf numFmtId="0" fontId="16" fillId="20" borderId="20" xfId="0" applyFont="1" applyFill="1" applyBorder="1" applyAlignment="1">
      <alignment vertical="center"/>
    </xf>
    <xf numFmtId="0" fontId="16" fillId="20" borderId="19" xfId="2" applyFont="1" applyFill="1" applyBorder="1" applyAlignment="1" applyProtection="1">
      <alignment vertical="center"/>
    </xf>
    <xf numFmtId="0" fontId="16" fillId="11" borderId="61" xfId="0" applyFont="1" applyFill="1" applyBorder="1" applyAlignment="1">
      <alignment vertical="center"/>
    </xf>
    <xf numFmtId="0" fontId="95" fillId="22" borderId="50" xfId="9" applyFont="1" applyBorder="1"/>
    <xf numFmtId="0" fontId="95" fillId="22" borderId="51" xfId="9" applyFont="1" applyBorder="1"/>
    <xf numFmtId="0" fontId="95" fillId="22" borderId="52" xfId="9" applyFont="1" applyBorder="1"/>
    <xf numFmtId="0" fontId="95" fillId="22" borderId="51" xfId="9" applyFont="1" applyBorder="1" applyAlignment="1">
      <alignment horizontal="center"/>
    </xf>
    <xf numFmtId="0" fontId="95" fillId="22" borderId="52" xfId="9" applyFont="1" applyBorder="1" applyAlignment="1">
      <alignment horizontal="center"/>
    </xf>
    <xf numFmtId="0" fontId="95" fillId="22" borderId="55" xfId="9" applyFont="1" applyBorder="1"/>
    <xf numFmtId="0" fontId="95" fillId="22" borderId="56" xfId="9" applyFont="1" applyBorder="1" applyAlignment="1">
      <alignment horizontal="center"/>
    </xf>
    <xf numFmtId="0" fontId="95" fillId="22" borderId="72" xfId="9" applyFont="1" applyBorder="1" applyAlignment="1">
      <alignment horizontal="center" wrapText="1"/>
    </xf>
    <xf numFmtId="0" fontId="16" fillId="21" borderId="71" xfId="0" applyFont="1" applyFill="1" applyBorder="1" applyAlignment="1">
      <alignment horizontal="center" vertical="center"/>
    </xf>
    <xf numFmtId="0" fontId="31" fillId="25" borderId="32" xfId="0" applyFont="1" applyFill="1" applyBorder="1"/>
    <xf numFmtId="0" fontId="31" fillId="26" borderId="32" xfId="0" applyFont="1" applyFill="1" applyBorder="1"/>
    <xf numFmtId="0" fontId="31" fillId="27" borderId="76" xfId="0" applyFont="1" applyFill="1" applyBorder="1"/>
    <xf numFmtId="0" fontId="4" fillId="23" borderId="32" xfId="0" applyFont="1" applyFill="1" applyBorder="1"/>
    <xf numFmtId="0" fontId="4" fillId="3" borderId="76" xfId="0" applyFont="1" applyFill="1" applyBorder="1"/>
    <xf numFmtId="0" fontId="92" fillId="21" borderId="20" xfId="0" applyFont="1" applyFill="1" applyBorder="1" applyAlignment="1">
      <alignment horizontal="center" vertical="center"/>
    </xf>
    <xf numFmtId="0" fontId="0" fillId="4" borderId="13" xfId="0" applyFill="1" applyBorder="1" applyAlignment="1">
      <alignment vertical="center" wrapText="1"/>
    </xf>
    <xf numFmtId="0" fontId="0" fillId="3" borderId="8" xfId="0" applyFill="1" applyBorder="1" applyAlignment="1">
      <alignment vertical="center"/>
    </xf>
    <xf numFmtId="0" fontId="0" fillId="3" borderId="32" xfId="0" applyFill="1" applyBorder="1" applyAlignment="1">
      <alignment vertical="center"/>
    </xf>
    <xf numFmtId="0" fontId="0" fillId="3" borderId="6" xfId="0" applyFill="1" applyBorder="1" applyAlignment="1">
      <alignment vertical="center"/>
    </xf>
    <xf numFmtId="0" fontId="4" fillId="20" borderId="20" xfId="0" applyFont="1" applyFill="1" applyBorder="1" applyAlignment="1">
      <alignment vertical="center"/>
    </xf>
    <xf numFmtId="0" fontId="98" fillId="3" borderId="8" xfId="0" applyFont="1" applyFill="1" applyBorder="1" applyAlignment="1">
      <alignment horizontal="center" vertical="center"/>
    </xf>
    <xf numFmtId="0" fontId="4" fillId="3" borderId="32" xfId="0" applyFont="1" applyFill="1" applyBorder="1" applyAlignment="1">
      <alignment horizontal="center"/>
    </xf>
    <xf numFmtId="0" fontId="4" fillId="3" borderId="76" xfId="0" applyFont="1" applyFill="1" applyBorder="1" applyAlignment="1">
      <alignment horizontal="center"/>
    </xf>
    <xf numFmtId="0" fontId="92" fillId="3" borderId="8" xfId="0" applyFont="1" applyFill="1" applyBorder="1" applyAlignment="1">
      <alignment horizontal="center" vertical="center"/>
    </xf>
    <xf numFmtId="0" fontId="16" fillId="3" borderId="32" xfId="0" applyFont="1" applyFill="1" applyBorder="1"/>
    <xf numFmtId="0" fontId="16" fillId="3" borderId="76" xfId="0" applyFont="1" applyFill="1" applyBorder="1"/>
    <xf numFmtId="0" fontId="6" fillId="21" borderId="81" xfId="2" applyFill="1" applyBorder="1" applyAlignment="1">
      <alignment horizontal="center" vertical="center" wrapText="1"/>
    </xf>
    <xf numFmtId="0" fontId="6" fillId="36" borderId="31" xfId="2" applyFill="1" applyBorder="1"/>
    <xf numFmtId="0" fontId="6" fillId="7" borderId="64" xfId="2" applyBorder="1"/>
    <xf numFmtId="9" fontId="6" fillId="7" borderId="49" xfId="5" applyFont="1" applyFill="1" applyBorder="1"/>
    <xf numFmtId="0" fontId="6" fillId="7" borderId="49" xfId="2" applyBorder="1"/>
    <xf numFmtId="0" fontId="6" fillId="36" borderId="49" xfId="2" applyFill="1" applyBorder="1"/>
    <xf numFmtId="0" fontId="6" fillId="36" borderId="47" xfId="2" applyFill="1" applyBorder="1"/>
    <xf numFmtId="0" fontId="6" fillId="7" borderId="57" xfId="2" applyBorder="1"/>
    <xf numFmtId="0" fontId="79" fillId="0" borderId="0" xfId="0" applyFont="1"/>
    <xf numFmtId="0" fontId="6" fillId="7" borderId="82" xfId="2" applyBorder="1"/>
    <xf numFmtId="0" fontId="0" fillId="4" borderId="9" xfId="0" applyFill="1" applyBorder="1"/>
    <xf numFmtId="0" fontId="0" fillId="4" borderId="10" xfId="0" applyFill="1" applyBorder="1"/>
    <xf numFmtId="0" fontId="0" fillId="4" borderId="11" xfId="0" applyFill="1" applyBorder="1"/>
    <xf numFmtId="0" fontId="31" fillId="0" borderId="18" xfId="0" applyFont="1" applyBorder="1"/>
    <xf numFmtId="0" fontId="31" fillId="0" borderId="20" xfId="0" applyFont="1" applyBorder="1"/>
    <xf numFmtId="0" fontId="92" fillId="21" borderId="10" xfId="0" applyFont="1" applyFill="1" applyBorder="1" applyAlignment="1">
      <alignment horizontal="center"/>
    </xf>
    <xf numFmtId="0" fontId="16" fillId="21" borderId="10" xfId="0" applyFont="1" applyFill="1" applyBorder="1"/>
    <xf numFmtId="0" fontId="16" fillId="21" borderId="11" xfId="0" applyFont="1" applyFill="1" applyBorder="1"/>
    <xf numFmtId="0" fontId="4" fillId="7" borderId="28" xfId="2" applyFont="1" applyBorder="1" applyAlignment="1">
      <alignment horizontal="center"/>
    </xf>
    <xf numFmtId="0" fontId="4" fillId="7" borderId="47" xfId="2" applyFont="1" applyBorder="1" applyAlignment="1">
      <alignment horizontal="center"/>
    </xf>
    <xf numFmtId="0" fontId="101" fillId="6" borderId="0" xfId="0" applyFont="1" applyFill="1"/>
    <xf numFmtId="0" fontId="4" fillId="4" borderId="0" xfId="2" applyFont="1" applyFill="1" applyBorder="1"/>
    <xf numFmtId="0" fontId="4" fillId="4" borderId="7" xfId="0" applyFont="1" applyFill="1" applyBorder="1"/>
    <xf numFmtId="0" fontId="4" fillId="4" borderId="3" xfId="0" applyFont="1" applyFill="1" applyBorder="1"/>
    <xf numFmtId="0" fontId="4" fillId="4" borderId="0" xfId="0" applyFont="1" applyFill="1"/>
    <xf numFmtId="0" fontId="17" fillId="20" borderId="20" xfId="0" applyFont="1" applyFill="1" applyBorder="1" applyAlignment="1">
      <alignment horizontal="center" vertical="center"/>
    </xf>
    <xf numFmtId="0" fontId="4" fillId="4" borderId="14" xfId="0" applyFont="1" applyFill="1" applyBorder="1"/>
    <xf numFmtId="0" fontId="4" fillId="4" borderId="16" xfId="0" applyFont="1" applyFill="1" applyBorder="1"/>
    <xf numFmtId="0" fontId="0" fillId="4" borderId="41" xfId="0" applyFill="1" applyBorder="1"/>
    <xf numFmtId="0" fontId="4" fillId="3" borderId="4" xfId="0" applyFont="1" applyFill="1" applyBorder="1"/>
    <xf numFmtId="0" fontId="6" fillId="7" borderId="45" xfId="2" applyBorder="1" applyAlignment="1">
      <alignment horizontal="left" vertical="center"/>
    </xf>
    <xf numFmtId="0" fontId="6" fillId="7" borderId="28" xfId="2" applyBorder="1" applyAlignment="1">
      <alignment horizontal="left" vertical="center"/>
    </xf>
    <xf numFmtId="0" fontId="6" fillId="7" borderId="76" xfId="2" applyBorder="1"/>
    <xf numFmtId="0" fontId="6" fillId="7" borderId="5" xfId="2" applyBorder="1" applyAlignment="1">
      <alignment horizontal="left" vertical="center"/>
    </xf>
    <xf numFmtId="0" fontId="6" fillId="7" borderId="30" xfId="2" applyBorder="1" applyAlignment="1">
      <alignment horizontal="left" vertical="center"/>
    </xf>
    <xf numFmtId="0" fontId="6" fillId="7" borderId="30" xfId="2" applyBorder="1" applyAlignment="1">
      <alignment horizontal="center" vertical="center"/>
    </xf>
    <xf numFmtId="0" fontId="6" fillId="7" borderId="58" xfId="2" applyBorder="1" applyAlignment="1">
      <alignment horizontal="center" vertical="center"/>
    </xf>
    <xf numFmtId="0" fontId="6" fillId="7" borderId="29" xfId="2" applyBorder="1" applyAlignment="1">
      <alignment horizontal="center"/>
    </xf>
    <xf numFmtId="0" fontId="6" fillId="7" borderId="8" xfId="2" applyBorder="1" applyAlignment="1">
      <alignment horizontal="left" vertical="center"/>
    </xf>
    <xf numFmtId="0" fontId="6" fillId="7" borderId="32" xfId="2" applyBorder="1" applyAlignment="1">
      <alignment horizontal="center" vertical="center"/>
    </xf>
    <xf numFmtId="0" fontId="6" fillId="7" borderId="71" xfId="2" applyBorder="1"/>
    <xf numFmtId="0" fontId="6" fillId="7" borderId="64" xfId="2" applyBorder="1" applyAlignment="1">
      <alignment horizontal="left" vertical="center"/>
    </xf>
    <xf numFmtId="0" fontId="6" fillId="7" borderId="49" xfId="2" applyBorder="1" applyAlignment="1">
      <alignment horizontal="left" vertical="center"/>
    </xf>
    <xf numFmtId="0" fontId="6" fillId="7" borderId="57" xfId="2" applyBorder="1" applyAlignment="1">
      <alignment horizontal="left" vertical="center"/>
    </xf>
    <xf numFmtId="0" fontId="6" fillId="7" borderId="32" xfId="2" applyBorder="1" applyAlignment="1">
      <alignment horizontal="left" vertical="center"/>
    </xf>
    <xf numFmtId="0" fontId="6" fillId="7" borderId="76" xfId="2" applyBorder="1" applyAlignment="1">
      <alignment horizontal="left" vertical="center"/>
    </xf>
    <xf numFmtId="0" fontId="6" fillId="7" borderId="28" xfId="2" applyBorder="1" applyAlignment="1">
      <alignment horizontal="center" vertical="center"/>
    </xf>
    <xf numFmtId="0" fontId="6" fillId="7" borderId="29" xfId="2" applyBorder="1" applyAlignment="1">
      <alignment horizontal="center" vertical="center"/>
    </xf>
    <xf numFmtId="0" fontId="6" fillId="7" borderId="76" xfId="2" applyBorder="1" applyAlignment="1">
      <alignment horizontal="center" vertical="center"/>
    </xf>
    <xf numFmtId="0" fontId="6" fillId="7" borderId="8" xfId="2" applyBorder="1" applyAlignment="1">
      <alignment horizontal="left"/>
    </xf>
    <xf numFmtId="0" fontId="6" fillId="7" borderId="32" xfId="2" applyBorder="1" applyAlignment="1">
      <alignment horizontal="left"/>
    </xf>
    <xf numFmtId="0" fontId="6" fillId="7" borderId="76" xfId="2" applyBorder="1" applyAlignment="1">
      <alignment horizontal="left"/>
    </xf>
    <xf numFmtId="0" fontId="6" fillId="7" borderId="70" xfId="2" applyBorder="1" applyAlignment="1">
      <alignment horizontal="center" vertical="center"/>
    </xf>
    <xf numFmtId="0" fontId="6" fillId="7" borderId="8" xfId="2" applyBorder="1" applyAlignment="1">
      <alignment horizontal="center" vertical="center"/>
    </xf>
    <xf numFmtId="0" fontId="95" fillId="37" borderId="18" xfId="0" applyFont="1" applyFill="1" applyBorder="1"/>
    <xf numFmtId="0" fontId="0" fillId="37" borderId="20" xfId="0" applyFill="1" applyBorder="1"/>
    <xf numFmtId="0" fontId="0" fillId="37" borderId="19" xfId="0" applyFill="1" applyBorder="1"/>
    <xf numFmtId="0" fontId="77" fillId="5" borderId="0" xfId="0" applyFont="1" applyFill="1"/>
    <xf numFmtId="0" fontId="77" fillId="34" borderId="0" xfId="0" applyFont="1" applyFill="1"/>
    <xf numFmtId="0" fontId="77" fillId="4" borderId="0" xfId="0" applyFont="1" applyFill="1"/>
    <xf numFmtId="2" fontId="0" fillId="0" borderId="13" xfId="0" applyNumberFormat="1" applyBorder="1"/>
    <xf numFmtId="2" fontId="0" fillId="0" borderId="16" xfId="0" applyNumberFormat="1" applyBorder="1"/>
    <xf numFmtId="0" fontId="0" fillId="31" borderId="12" xfId="0" applyFill="1" applyBorder="1"/>
    <xf numFmtId="2" fontId="0" fillId="31" borderId="13" xfId="0" applyNumberFormat="1" applyFill="1" applyBorder="1"/>
    <xf numFmtId="0" fontId="0" fillId="44" borderId="12" xfId="0" applyFill="1" applyBorder="1"/>
    <xf numFmtId="2" fontId="0" fillId="44" borderId="13" xfId="0" applyNumberFormat="1" applyFill="1" applyBorder="1"/>
    <xf numFmtId="2" fontId="0" fillId="5" borderId="13" xfId="0" applyNumberFormat="1" applyFill="1" applyBorder="1"/>
    <xf numFmtId="2" fontId="0" fillId="39" borderId="35" xfId="0" applyNumberFormat="1" applyFill="1" applyBorder="1"/>
    <xf numFmtId="2" fontId="0" fillId="5" borderId="37" xfId="0" applyNumberFormat="1" applyFill="1" applyBorder="1"/>
    <xf numFmtId="2" fontId="77" fillId="5" borderId="13" xfId="0" applyNumberFormat="1" applyFont="1" applyFill="1" applyBorder="1"/>
    <xf numFmtId="2" fontId="0" fillId="42" borderId="11" xfId="0" applyNumberFormat="1" applyFill="1" applyBorder="1"/>
    <xf numFmtId="2" fontId="0" fillId="32" borderId="13" xfId="0" applyNumberFormat="1" applyFill="1" applyBorder="1"/>
    <xf numFmtId="2" fontId="0" fillId="42" borderId="13" xfId="0" applyNumberFormat="1" applyFill="1" applyBorder="1"/>
    <xf numFmtId="2" fontId="0" fillId="19" borderId="13" xfId="0" applyNumberFormat="1" applyFill="1" applyBorder="1"/>
    <xf numFmtId="2" fontId="0" fillId="4" borderId="13" xfId="0" applyNumberFormat="1" applyFill="1" applyBorder="1"/>
    <xf numFmtId="2" fontId="77" fillId="18" borderId="11" xfId="0" applyNumberFormat="1" applyFont="1" applyFill="1" applyBorder="1"/>
    <xf numFmtId="2" fontId="77" fillId="18" borderId="13" xfId="0" applyNumberFormat="1" applyFont="1" applyFill="1" applyBorder="1"/>
    <xf numFmtId="2" fontId="0" fillId="32" borderId="19" xfId="0" applyNumberFormat="1" applyFill="1" applyBorder="1"/>
    <xf numFmtId="2" fontId="77" fillId="34" borderId="13" xfId="0" applyNumberFormat="1" applyFont="1" applyFill="1" applyBorder="1"/>
    <xf numFmtId="2" fontId="77" fillId="4" borderId="35" xfId="0" applyNumberFormat="1" applyFont="1" applyFill="1" applyBorder="1" applyAlignment="1">
      <alignment horizontal="right"/>
    </xf>
    <xf numFmtId="2" fontId="77" fillId="4" borderId="13" xfId="0" applyNumberFormat="1" applyFont="1" applyFill="1" applyBorder="1" applyAlignment="1">
      <alignment horizontal="right"/>
    </xf>
    <xf numFmtId="2" fontId="77" fillId="34" borderId="35" xfId="0" applyNumberFormat="1" applyFont="1" applyFill="1" applyBorder="1"/>
    <xf numFmtId="2" fontId="77" fillId="4" borderId="62" xfId="0" applyNumberFormat="1" applyFont="1" applyFill="1" applyBorder="1"/>
    <xf numFmtId="0" fontId="2" fillId="20" borderId="18" xfId="0" applyFont="1" applyFill="1" applyBorder="1"/>
    <xf numFmtId="0" fontId="89" fillId="0" borderId="12" xfId="0" applyFont="1" applyBorder="1"/>
    <xf numFmtId="0" fontId="28" fillId="6" borderId="0" xfId="8" applyFill="1" applyBorder="1"/>
    <xf numFmtId="0" fontId="76" fillId="6" borderId="0" xfId="0" applyFont="1" applyFill="1" applyAlignment="1">
      <alignment horizontal="center"/>
    </xf>
    <xf numFmtId="0" fontId="77" fillId="6" borderId="0" xfId="0" applyFont="1" applyFill="1" applyAlignment="1">
      <alignment horizontal="center" vertical="center" wrapText="1"/>
    </xf>
    <xf numFmtId="0" fontId="77" fillId="6" borderId="0" xfId="0" applyFont="1" applyFill="1"/>
    <xf numFmtId="0" fontId="77" fillId="6" borderId="0" xfId="0" applyFont="1" applyFill="1" applyAlignment="1">
      <alignment horizontal="center" vertical="center"/>
    </xf>
    <xf numFmtId="0" fontId="77" fillId="6" borderId="0" xfId="0" applyFont="1" applyFill="1" applyAlignment="1">
      <alignment vertical="center" wrapText="1"/>
    </xf>
    <xf numFmtId="2" fontId="0" fillId="6" borderId="0" xfId="0" applyNumberFormat="1" applyFill="1"/>
    <xf numFmtId="0" fontId="28" fillId="6" borderId="0" xfId="8" applyFill="1" applyBorder="1" applyAlignment="1"/>
    <xf numFmtId="0" fontId="6" fillId="7" borderId="0" xfId="2"/>
    <xf numFmtId="0" fontId="68" fillId="6" borderId="12" xfId="0" applyFont="1" applyFill="1" applyBorder="1"/>
    <xf numFmtId="0" fontId="104" fillId="6" borderId="0" xfId="1" applyFont="1" applyFill="1" applyBorder="1"/>
    <xf numFmtId="0" fontId="0" fillId="45" borderId="28" xfId="0" applyFill="1" applyBorder="1"/>
    <xf numFmtId="0" fontId="8" fillId="44" borderId="13" xfId="4" applyFill="1" applyBorder="1"/>
    <xf numFmtId="0" fontId="6" fillId="44" borderId="13" xfId="2" applyFill="1" applyBorder="1"/>
    <xf numFmtId="0" fontId="6" fillId="44" borderId="37" xfId="2" applyFill="1" applyBorder="1"/>
    <xf numFmtId="0" fontId="8" fillId="28" borderId="13" xfId="4" applyFill="1" applyBorder="1"/>
    <xf numFmtId="0" fontId="6" fillId="28" borderId="37" xfId="2" applyFill="1" applyBorder="1"/>
    <xf numFmtId="0" fontId="0" fillId="44" borderId="16" xfId="0" applyFill="1" applyBorder="1"/>
    <xf numFmtId="0" fontId="8" fillId="44" borderId="38" xfId="4" applyFill="1" applyBorder="1"/>
    <xf numFmtId="0" fontId="6" fillId="7" borderId="21" xfId="2" applyBorder="1"/>
    <xf numFmtId="0" fontId="8" fillId="44" borderId="40" xfId="4" applyFill="1" applyBorder="1"/>
    <xf numFmtId="0" fontId="8" fillId="44" borderId="21" xfId="4" applyFill="1"/>
    <xf numFmtId="0" fontId="0" fillId="6" borderId="7" xfId="0" applyFill="1" applyBorder="1"/>
    <xf numFmtId="0" fontId="0" fillId="3" borderId="28" xfId="0" applyFill="1" applyBorder="1"/>
    <xf numFmtId="0" fontId="68" fillId="34" borderId="80" xfId="0" applyFont="1" applyFill="1" applyBorder="1"/>
    <xf numFmtId="0" fontId="68" fillId="34" borderId="69" xfId="0" applyFont="1" applyFill="1" applyBorder="1"/>
    <xf numFmtId="0" fontId="68" fillId="34" borderId="74" xfId="0" applyFont="1" applyFill="1" applyBorder="1"/>
    <xf numFmtId="0" fontId="78" fillId="34" borderId="66" xfId="0" applyFont="1" applyFill="1" applyBorder="1" applyAlignment="1">
      <alignment horizontal="center" vertical="center" wrapText="1"/>
    </xf>
    <xf numFmtId="0" fontId="102" fillId="21" borderId="18" xfId="8" applyFont="1" applyFill="1" applyBorder="1" applyAlignment="1">
      <alignment horizontal="center"/>
    </xf>
    <xf numFmtId="0" fontId="102" fillId="21" borderId="20" xfId="8" applyFont="1" applyFill="1" applyBorder="1" applyAlignment="1">
      <alignment horizontal="center"/>
    </xf>
    <xf numFmtId="0" fontId="102" fillId="21" borderId="19" xfId="8" applyFont="1" applyFill="1" applyBorder="1" applyAlignment="1">
      <alignment horizontal="center"/>
    </xf>
    <xf numFmtId="0" fontId="78" fillId="18" borderId="68" xfId="0" applyFont="1" applyFill="1" applyBorder="1" applyAlignment="1">
      <alignment horizontal="center" vertical="center" wrapText="1"/>
    </xf>
    <xf numFmtId="0" fontId="78" fillId="18" borderId="44" xfId="0" applyFont="1" applyFill="1" applyBorder="1" applyAlignment="1">
      <alignment horizontal="center" vertical="center" wrapText="1"/>
    </xf>
    <xf numFmtId="0" fontId="78" fillId="34" borderId="3" xfId="0" applyFont="1" applyFill="1" applyBorder="1" applyAlignment="1">
      <alignment horizontal="center" vertical="center"/>
    </xf>
    <xf numFmtId="0" fontId="85" fillId="6" borderId="0" xfId="8" applyFont="1" applyFill="1" applyBorder="1" applyAlignment="1">
      <alignment horizontal="center"/>
    </xf>
    <xf numFmtId="0" fontId="16" fillId="44" borderId="0" xfId="0" applyFont="1" applyFill="1"/>
    <xf numFmtId="0" fontId="16" fillId="44" borderId="0" xfId="0" applyFont="1" applyFill="1" applyAlignment="1">
      <alignment horizontal="center"/>
    </xf>
    <xf numFmtId="0" fontId="4" fillId="44" borderId="0" xfId="0" applyFont="1" applyFill="1"/>
    <xf numFmtId="0" fontId="4" fillId="44" borderId="0" xfId="0" applyFont="1" applyFill="1" applyAlignment="1">
      <alignment horizontal="center"/>
    </xf>
    <xf numFmtId="2" fontId="4" fillId="44" borderId="0" xfId="0" applyNumberFormat="1" applyFont="1" applyFill="1" applyAlignment="1">
      <alignment horizontal="center"/>
    </xf>
    <xf numFmtId="0" fontId="0" fillId="44" borderId="0" xfId="0" applyFill="1"/>
    <xf numFmtId="2" fontId="16" fillId="44" borderId="0" xfId="0" applyNumberFormat="1" applyFont="1" applyFill="1" applyAlignment="1">
      <alignment horizontal="center"/>
    </xf>
    <xf numFmtId="0" fontId="2" fillId="24" borderId="0" xfId="0" applyFont="1" applyFill="1"/>
    <xf numFmtId="0" fontId="0" fillId="21" borderId="0" xfId="0" applyFill="1"/>
    <xf numFmtId="0" fontId="6" fillId="7" borderId="44" xfId="2" applyBorder="1" applyAlignment="1">
      <alignment vertical="center"/>
    </xf>
    <xf numFmtId="0" fontId="0" fillId="3" borderId="44" xfId="0" applyFill="1" applyBorder="1" applyAlignment="1">
      <alignment horizontal="center" vertical="center"/>
    </xf>
    <xf numFmtId="0" fontId="0" fillId="3" borderId="7" xfId="0" applyFill="1" applyBorder="1" applyAlignment="1">
      <alignment vertical="center"/>
    </xf>
    <xf numFmtId="0" fontId="16" fillId="11" borderId="69" xfId="0" applyFont="1" applyFill="1" applyBorder="1" applyAlignment="1">
      <alignment horizontal="center" vertical="center"/>
    </xf>
    <xf numFmtId="0" fontId="6" fillId="7" borderId="44" xfId="2" applyBorder="1" applyAlignment="1">
      <alignment horizontal="center" vertical="center"/>
    </xf>
    <xf numFmtId="0" fontId="16" fillId="11" borderId="61" xfId="0" applyFont="1" applyFill="1" applyBorder="1" applyAlignment="1">
      <alignment horizontal="center" vertical="center"/>
    </xf>
    <xf numFmtId="0" fontId="16" fillId="11" borderId="69" xfId="2" applyFont="1" applyFill="1" applyBorder="1" applyAlignment="1">
      <alignment horizontal="center" vertical="center"/>
    </xf>
    <xf numFmtId="0" fontId="16" fillId="11" borderId="74" xfId="2" applyFont="1" applyFill="1" applyBorder="1" applyAlignment="1">
      <alignment horizontal="center" vertical="center"/>
    </xf>
    <xf numFmtId="0" fontId="16" fillId="11" borderId="19" xfId="0" applyFont="1" applyFill="1" applyBorder="1" applyAlignment="1">
      <alignment horizontal="center" vertical="center"/>
    </xf>
    <xf numFmtId="0" fontId="6" fillId="7" borderId="45" xfId="2" applyBorder="1" applyAlignment="1">
      <alignment horizontal="center" vertical="center"/>
    </xf>
    <xf numFmtId="0" fontId="0" fillId="3" borderId="28" xfId="0" applyFill="1" applyBorder="1" applyAlignment="1">
      <alignment vertical="center"/>
    </xf>
    <xf numFmtId="0" fontId="0" fillId="3" borderId="29" xfId="0" applyFill="1" applyBorder="1" applyAlignment="1">
      <alignment vertical="center"/>
    </xf>
    <xf numFmtId="0" fontId="0" fillId="3" borderId="45" xfId="0" applyFill="1" applyBorder="1" applyAlignment="1">
      <alignment vertical="center"/>
    </xf>
    <xf numFmtId="0" fontId="63" fillId="3" borderId="45" xfId="2" applyFont="1" applyFill="1" applyBorder="1" applyAlignment="1">
      <alignment horizontal="center" vertical="center"/>
    </xf>
    <xf numFmtId="0" fontId="0" fillId="41" borderId="11" xfId="0" applyFill="1" applyBorder="1"/>
    <xf numFmtId="0" fontId="16" fillId="20" borderId="61" xfId="0" applyFont="1" applyFill="1" applyBorder="1" applyAlignment="1">
      <alignment horizontal="center" vertical="center"/>
    </xf>
    <xf numFmtId="0" fontId="2" fillId="20" borderId="18" xfId="0" applyFont="1" applyFill="1" applyBorder="1" applyAlignment="1">
      <alignment vertical="center"/>
    </xf>
    <xf numFmtId="0" fontId="2" fillId="20" borderId="20" xfId="2" applyFont="1" applyFill="1" applyBorder="1" applyAlignment="1">
      <alignment vertical="center"/>
    </xf>
    <xf numFmtId="0" fontId="2" fillId="20" borderId="20" xfId="2" applyFont="1" applyFill="1" applyBorder="1" applyAlignment="1">
      <alignment horizontal="center" vertical="center"/>
    </xf>
    <xf numFmtId="0" fontId="2" fillId="20" borderId="19" xfId="2" applyFont="1" applyFill="1" applyBorder="1" applyAlignment="1">
      <alignment vertical="center"/>
    </xf>
    <xf numFmtId="0" fontId="2" fillId="0" borderId="3" xfId="0" applyFont="1" applyBorder="1"/>
    <xf numFmtId="0" fontId="2" fillId="34" borderId="13" xfId="0" applyFont="1" applyFill="1" applyBorder="1" applyAlignment="1">
      <alignment horizontal="left" wrapText="1"/>
    </xf>
    <xf numFmtId="0" fontId="0" fillId="4" borderId="13" xfId="0" applyFill="1" applyBorder="1" applyAlignment="1">
      <alignment horizontal="left" wrapText="1"/>
    </xf>
    <xf numFmtId="0" fontId="0" fillId="34" borderId="13" xfId="0" applyFill="1" applyBorder="1" applyAlignment="1">
      <alignment horizontal="left" wrapText="1"/>
    </xf>
    <xf numFmtId="0" fontId="6" fillId="6" borderId="0" xfId="2" applyFill="1" applyBorder="1" applyAlignment="1">
      <alignment horizontal="center"/>
    </xf>
    <xf numFmtId="0" fontId="6" fillId="7" borderId="28" xfId="2" applyBorder="1" applyAlignment="1">
      <alignment wrapText="1"/>
    </xf>
    <xf numFmtId="0" fontId="13" fillId="3" borderId="49" xfId="6" applyFill="1" applyBorder="1" applyAlignment="1">
      <alignment wrapText="1"/>
    </xf>
    <xf numFmtId="0" fontId="70" fillId="3" borderId="49" xfId="0" applyFont="1" applyFill="1" applyBorder="1" applyAlignment="1">
      <alignment wrapText="1"/>
    </xf>
    <xf numFmtId="0" fontId="70" fillId="3" borderId="57" xfId="0" applyFont="1" applyFill="1" applyBorder="1" applyAlignment="1">
      <alignment wrapText="1"/>
    </xf>
    <xf numFmtId="0" fontId="6" fillId="7" borderId="28" xfId="2" applyBorder="1" applyAlignment="1">
      <alignment horizontal="center" wrapText="1"/>
    </xf>
    <xf numFmtId="0" fontId="81" fillId="0" borderId="0" xfId="10"/>
    <xf numFmtId="0" fontId="8" fillId="46" borderId="13" xfId="4" applyFill="1" applyBorder="1"/>
    <xf numFmtId="0" fontId="101" fillId="0" borderId="0" xfId="2" applyFont="1" applyFill="1" applyBorder="1" applyAlignment="1">
      <alignment vertical="center"/>
    </xf>
    <xf numFmtId="0" fontId="0" fillId="0" borderId="29" xfId="0" applyBorder="1" applyAlignment="1">
      <alignment horizontal="center" vertical="center"/>
    </xf>
    <xf numFmtId="0" fontId="101" fillId="0" borderId="0" xfId="0" applyFont="1"/>
    <xf numFmtId="0" fontId="105" fillId="0" borderId="0" xfId="0" applyFont="1" applyAlignment="1">
      <alignment horizontal="center" vertical="center"/>
    </xf>
    <xf numFmtId="0" fontId="101" fillId="0" borderId="0" xfId="0" applyFont="1" applyAlignment="1">
      <alignment vertical="center"/>
    </xf>
    <xf numFmtId="0" fontId="101" fillId="0" borderId="0" xfId="0" applyFont="1" applyAlignment="1">
      <alignment horizontal="center" vertical="center"/>
    </xf>
    <xf numFmtId="0" fontId="101" fillId="0" borderId="0" xfId="0" applyFont="1" applyAlignment="1">
      <alignment horizontal="center"/>
    </xf>
    <xf numFmtId="0" fontId="106" fillId="0" borderId="0" xfId="0" applyFont="1" applyAlignment="1">
      <alignment vertical="center"/>
    </xf>
    <xf numFmtId="0" fontId="106" fillId="0" borderId="0" xfId="0" applyFont="1" applyAlignment="1">
      <alignment horizontal="center" vertical="center"/>
    </xf>
    <xf numFmtId="0" fontId="101" fillId="6" borderId="0" xfId="0" applyFont="1" applyFill="1" applyAlignment="1">
      <alignment horizontal="center"/>
    </xf>
    <xf numFmtId="0" fontId="101" fillId="6" borderId="0" xfId="2" applyFont="1" applyFill="1" applyBorder="1" applyAlignment="1">
      <alignment vertical="center"/>
    </xf>
    <xf numFmtId="0" fontId="69" fillId="20" borderId="10" xfId="0" applyFont="1" applyFill="1" applyBorder="1" applyAlignment="1">
      <alignment horizontal="left" vertical="center"/>
    </xf>
    <xf numFmtId="0" fontId="16" fillId="0" borderId="56" xfId="0" applyFont="1" applyBorder="1" applyAlignment="1">
      <alignment horizontal="center" vertical="center" wrapText="1"/>
    </xf>
    <xf numFmtId="0" fontId="4" fillId="11" borderId="15" xfId="0" applyFont="1" applyFill="1" applyBorder="1" applyAlignment="1">
      <alignment vertical="center"/>
    </xf>
    <xf numFmtId="0" fontId="16" fillId="20" borderId="20" xfId="2" applyFont="1" applyFill="1" applyBorder="1" applyAlignment="1">
      <alignment vertical="center"/>
    </xf>
    <xf numFmtId="0" fontId="2" fillId="20" borderId="84" xfId="0" applyFont="1" applyFill="1" applyBorder="1" applyAlignment="1">
      <alignment vertical="center"/>
    </xf>
    <xf numFmtId="0" fontId="2" fillId="20" borderId="83" xfId="0" applyFont="1" applyFill="1" applyBorder="1" applyAlignment="1">
      <alignment vertical="center"/>
    </xf>
    <xf numFmtId="0" fontId="6" fillId="7" borderId="31" xfId="2" applyBorder="1" applyAlignment="1">
      <alignment vertical="center"/>
    </xf>
    <xf numFmtId="0" fontId="91" fillId="20" borderId="19" xfId="0" applyFont="1" applyFill="1" applyBorder="1"/>
    <xf numFmtId="0" fontId="91" fillId="20" borderId="11" xfId="0" applyFont="1" applyFill="1" applyBorder="1"/>
    <xf numFmtId="0" fontId="6" fillId="7" borderId="28" xfId="2" applyBorder="1" applyAlignment="1">
      <alignment vertical="center" wrapText="1"/>
    </xf>
    <xf numFmtId="0" fontId="74" fillId="20" borderId="77" xfId="0" applyFont="1" applyFill="1" applyBorder="1" applyAlignment="1">
      <alignment horizontal="left" vertical="center"/>
    </xf>
    <xf numFmtId="0" fontId="91" fillId="20" borderId="84" xfId="0" applyFont="1" applyFill="1" applyBorder="1"/>
    <xf numFmtId="2" fontId="6" fillId="7" borderId="4" xfId="2" applyNumberFormat="1" applyBorder="1"/>
    <xf numFmtId="2" fontId="6" fillId="7" borderId="31" xfId="2" applyNumberFormat="1" applyBorder="1"/>
    <xf numFmtId="2" fontId="6" fillId="7" borderId="82" xfId="2" applyNumberFormat="1" applyBorder="1"/>
    <xf numFmtId="0" fontId="74" fillId="22" borderId="12" xfId="9" applyFont="1" applyBorder="1" applyAlignment="1"/>
    <xf numFmtId="0" fontId="74" fillId="22" borderId="0" xfId="9" applyFont="1" applyBorder="1" applyAlignment="1"/>
    <xf numFmtId="0" fontId="74" fillId="22" borderId="9" xfId="9" applyFont="1" applyBorder="1" applyAlignment="1"/>
    <xf numFmtId="0" fontId="74" fillId="22" borderId="10" xfId="9" applyFont="1" applyBorder="1" applyAlignment="1"/>
    <xf numFmtId="0" fontId="6" fillId="7" borderId="44" xfId="2" applyBorder="1" applyAlignment="1">
      <alignment horizontal="left" vertical="center"/>
    </xf>
    <xf numFmtId="0" fontId="108" fillId="0" borderId="0" xfId="0" applyFont="1" applyAlignment="1">
      <alignment vertical="center"/>
    </xf>
    <xf numFmtId="0" fontId="6" fillId="7" borderId="56" xfId="2" applyBorder="1" applyAlignment="1">
      <alignment vertical="center"/>
    </xf>
    <xf numFmtId="2" fontId="6" fillId="7" borderId="28" xfId="5" applyNumberFormat="1" applyFont="1" applyFill="1" applyBorder="1"/>
    <xf numFmtId="2" fontId="2" fillId="0" borderId="19" xfId="5" applyNumberFormat="1" applyFont="1" applyBorder="1"/>
    <xf numFmtId="0" fontId="16" fillId="11" borderId="2" xfId="2" applyFont="1" applyFill="1" applyBorder="1"/>
    <xf numFmtId="0" fontId="77" fillId="5" borderId="67" xfId="0" applyFont="1" applyFill="1" applyBorder="1"/>
    <xf numFmtId="0" fontId="77" fillId="5" borderId="16" xfId="0" applyFont="1" applyFill="1" applyBorder="1"/>
    <xf numFmtId="0" fontId="78" fillId="32" borderId="18" xfId="0" applyFont="1" applyFill="1" applyBorder="1"/>
    <xf numFmtId="0" fontId="78" fillId="32" borderId="20" xfId="0" applyFont="1" applyFill="1" applyBorder="1" applyAlignment="1">
      <alignment horizontal="left"/>
    </xf>
    <xf numFmtId="0" fontId="78" fillId="32" borderId="20" xfId="0" applyFont="1" applyFill="1" applyBorder="1" applyAlignment="1">
      <alignment horizontal="center"/>
    </xf>
    <xf numFmtId="0" fontId="78" fillId="32" borderId="19" xfId="0" applyFont="1" applyFill="1" applyBorder="1" applyAlignment="1">
      <alignment horizontal="center"/>
    </xf>
    <xf numFmtId="0" fontId="0" fillId="18" borderId="13" xfId="0" applyFill="1" applyBorder="1"/>
    <xf numFmtId="0" fontId="77" fillId="5" borderId="66" xfId="0" applyFont="1" applyFill="1" applyBorder="1"/>
    <xf numFmtId="0" fontId="0" fillId="18" borderId="10" xfId="0" applyFill="1" applyBorder="1"/>
    <xf numFmtId="0" fontId="78" fillId="6" borderId="0" xfId="0" applyFont="1" applyFill="1" applyAlignment="1">
      <alignment horizontal="center" vertical="center" wrapText="1"/>
    </xf>
    <xf numFmtId="0" fontId="0" fillId="4" borderId="18" xfId="0" applyFill="1" applyBorder="1" applyAlignment="1">
      <alignment horizontal="center"/>
    </xf>
    <xf numFmtId="0" fontId="91" fillId="39" borderId="18" xfId="0" applyFont="1" applyFill="1" applyBorder="1" applyAlignment="1">
      <alignment horizontal="center"/>
    </xf>
    <xf numFmtId="0" fontId="91" fillId="39" borderId="19" xfId="0" applyFont="1" applyFill="1" applyBorder="1" applyAlignment="1">
      <alignment horizontal="center"/>
    </xf>
    <xf numFmtId="0" fontId="6" fillId="7" borderId="44" xfId="2" applyBorder="1"/>
    <xf numFmtId="0" fontId="69" fillId="20" borderId="69" xfId="2" applyFont="1" applyFill="1" applyBorder="1"/>
    <xf numFmtId="0" fontId="69" fillId="20" borderId="74" xfId="2" applyFont="1" applyFill="1" applyBorder="1"/>
    <xf numFmtId="0" fontId="0" fillId="4" borderId="18" xfId="0" applyFill="1" applyBorder="1" applyAlignment="1">
      <alignment vertical="center" wrapText="1"/>
    </xf>
    <xf numFmtId="0" fontId="71" fillId="0" borderId="0" xfId="2" applyFont="1" applyFill="1" applyBorder="1" applyAlignment="1"/>
    <xf numFmtId="0" fontId="6" fillId="36" borderId="13" xfId="2" applyFill="1" applyBorder="1"/>
    <xf numFmtId="0" fontId="6" fillId="36" borderId="37" xfId="2" applyFill="1" applyBorder="1"/>
    <xf numFmtId="0" fontId="8" fillId="36" borderId="13" xfId="4" applyFill="1" applyBorder="1"/>
    <xf numFmtId="166" fontId="6" fillId="7" borderId="0" xfId="2" applyNumberFormat="1"/>
    <xf numFmtId="166" fontId="8" fillId="36" borderId="13" xfId="4" applyNumberFormat="1" applyFill="1" applyBorder="1"/>
    <xf numFmtId="0" fontId="8" fillId="36" borderId="38" xfId="4" applyFill="1" applyBorder="1"/>
    <xf numFmtId="0" fontId="0" fillId="36" borderId="16" xfId="0" applyFill="1" applyBorder="1"/>
    <xf numFmtId="0" fontId="8" fillId="36" borderId="40" xfId="4" applyFill="1" applyBorder="1"/>
    <xf numFmtId="0" fontId="0" fillId="36" borderId="13" xfId="0" applyFill="1" applyBorder="1"/>
    <xf numFmtId="0" fontId="71" fillId="7" borderId="28" xfId="2" applyFont="1" applyBorder="1" applyAlignment="1">
      <alignment horizontal="center"/>
    </xf>
    <xf numFmtId="0" fontId="6" fillId="7" borderId="28" xfId="2" applyBorder="1" applyAlignment="1"/>
    <xf numFmtId="0" fontId="71" fillId="7" borderId="45" xfId="2" applyFont="1" applyBorder="1" applyAlignment="1"/>
    <xf numFmtId="0" fontId="68" fillId="34" borderId="74" xfId="0" applyFont="1" applyFill="1" applyBorder="1" applyAlignment="1">
      <alignment vertical="center" wrapText="1"/>
    </xf>
    <xf numFmtId="0" fontId="27" fillId="6" borderId="3" xfId="7" applyFill="1" applyBorder="1" applyAlignment="1"/>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8" fillId="36" borderId="21" xfId="4" applyFill="1"/>
    <xf numFmtId="0" fontId="6" fillId="36" borderId="7" xfId="2" applyFill="1" applyBorder="1"/>
    <xf numFmtId="0" fontId="6" fillId="36" borderId="8" xfId="2" applyFill="1" applyBorder="1"/>
    <xf numFmtId="0" fontId="6" fillId="36" borderId="5" xfId="2" applyFill="1" applyBorder="1"/>
    <xf numFmtId="0" fontId="8" fillId="36" borderId="28" xfId="4" applyFill="1" applyBorder="1"/>
    <xf numFmtId="0" fontId="0" fillId="36" borderId="28" xfId="0" applyFill="1" applyBorder="1"/>
    <xf numFmtId="0" fontId="8" fillId="36" borderId="38" xfId="4" applyFill="1" applyBorder="1" applyAlignment="1">
      <alignment horizontal="right"/>
    </xf>
    <xf numFmtId="0" fontId="68" fillId="34" borderId="9" xfId="0" applyFont="1" applyFill="1" applyBorder="1"/>
    <xf numFmtId="0" fontId="68" fillId="34" borderId="11" xfId="0" applyFont="1" applyFill="1" applyBorder="1" applyAlignment="1">
      <alignment horizontal="center" vertical="center" wrapText="1"/>
    </xf>
    <xf numFmtId="0" fontId="68" fillId="34" borderId="78" xfId="0" applyFont="1" applyFill="1" applyBorder="1" applyAlignment="1">
      <alignment horizontal="center" vertical="center" wrapText="1"/>
    </xf>
    <xf numFmtId="0" fontId="68" fillId="34" borderId="17" xfId="0" applyFont="1" applyFill="1" applyBorder="1" applyAlignment="1">
      <alignment horizontal="center"/>
    </xf>
    <xf numFmtId="0" fontId="6" fillId="7" borderId="47" xfId="2" applyBorder="1" applyAlignment="1"/>
    <xf numFmtId="0" fontId="70" fillId="3" borderId="86" xfId="0" applyFont="1" applyFill="1" applyBorder="1"/>
    <xf numFmtId="0" fontId="67" fillId="3" borderId="86" xfId="0" applyFont="1" applyFill="1" applyBorder="1"/>
    <xf numFmtId="0" fontId="67" fillId="3" borderId="85" xfId="0" applyFont="1" applyFill="1" applyBorder="1"/>
    <xf numFmtId="0" fontId="92" fillId="21" borderId="11" xfId="0" applyFont="1" applyFill="1" applyBorder="1" applyAlignment="1">
      <alignment horizontal="center"/>
    </xf>
    <xf numFmtId="0" fontId="74" fillId="20" borderId="14" xfId="0" applyFont="1" applyFill="1" applyBorder="1" applyAlignment="1">
      <alignment horizontal="left" vertical="center"/>
    </xf>
    <xf numFmtId="0" fontId="74" fillId="20" borderId="15" xfId="0" applyFont="1" applyFill="1" applyBorder="1" applyAlignment="1">
      <alignment horizontal="left" vertical="center"/>
    </xf>
    <xf numFmtId="0" fontId="74" fillId="20" borderId="16" xfId="0" applyFont="1" applyFill="1" applyBorder="1" applyAlignment="1">
      <alignment horizontal="left" vertical="center"/>
    </xf>
    <xf numFmtId="0" fontId="7" fillId="21" borderId="34" xfId="3" applyFill="1" applyBorder="1"/>
    <xf numFmtId="0" fontId="7" fillId="21" borderId="2" xfId="3" applyFill="1" applyBorder="1"/>
    <xf numFmtId="0" fontId="7" fillId="21" borderId="13" xfId="3" applyFill="1" applyBorder="1"/>
    <xf numFmtId="0" fontId="0" fillId="21" borderId="12" xfId="0" applyFill="1" applyBorder="1"/>
    <xf numFmtId="0" fontId="8" fillId="21" borderId="38" xfId="4" applyFill="1" applyBorder="1"/>
    <xf numFmtId="0" fontId="6" fillId="21" borderId="13" xfId="2" applyFill="1" applyBorder="1"/>
    <xf numFmtId="0" fontId="7" fillId="21" borderId="35" xfId="3" applyFill="1" applyBorder="1"/>
    <xf numFmtId="0" fontId="7" fillId="21" borderId="12" xfId="3" applyFill="1" applyBorder="1"/>
    <xf numFmtId="0" fontId="7" fillId="21" borderId="0" xfId="3" applyFill="1" applyBorder="1"/>
    <xf numFmtId="0" fontId="4" fillId="21" borderId="12" xfId="0" applyFont="1" applyFill="1" applyBorder="1"/>
    <xf numFmtId="0" fontId="4" fillId="21" borderId="0" xfId="0" applyFont="1" applyFill="1"/>
    <xf numFmtId="0" fontId="4" fillId="21" borderId="36" xfId="0" applyFont="1" applyFill="1" applyBorder="1"/>
    <xf numFmtId="0" fontId="4" fillId="21" borderId="5" xfId="0" applyFont="1" applyFill="1" applyBorder="1"/>
    <xf numFmtId="0" fontId="0" fillId="21" borderId="5" xfId="0" applyFill="1" applyBorder="1"/>
    <xf numFmtId="0" fontId="6" fillId="21" borderId="37" xfId="2" applyFill="1" applyBorder="1"/>
    <xf numFmtId="0" fontId="17" fillId="6" borderId="0" xfId="0" applyFont="1" applyFill="1" applyAlignment="1">
      <alignment horizontal="center" vertical="center"/>
    </xf>
    <xf numFmtId="0" fontId="0" fillId="42" borderId="0" xfId="0" applyFill="1"/>
    <xf numFmtId="0" fontId="0" fillId="19" borderId="0" xfId="0" applyFill="1"/>
    <xf numFmtId="0" fontId="77" fillId="19" borderId="0" xfId="0" applyFont="1" applyFill="1"/>
    <xf numFmtId="0" fontId="0" fillId="19" borderId="1" xfId="0" applyFill="1" applyBorder="1"/>
    <xf numFmtId="0" fontId="0" fillId="19" borderId="2" xfId="0" applyFill="1" applyBorder="1"/>
    <xf numFmtId="2" fontId="0" fillId="19" borderId="6" xfId="0" applyNumberFormat="1" applyFill="1" applyBorder="1"/>
    <xf numFmtId="2" fontId="0" fillId="4" borderId="7" xfId="0" applyNumberFormat="1" applyFill="1" applyBorder="1"/>
    <xf numFmtId="0" fontId="0" fillId="19" borderId="3" xfId="0" applyFill="1" applyBorder="1"/>
    <xf numFmtId="2" fontId="0" fillId="19" borderId="7" xfId="0" applyNumberFormat="1" applyFill="1" applyBorder="1"/>
    <xf numFmtId="0" fontId="77" fillId="19" borderId="3" xfId="0" applyFont="1" applyFill="1" applyBorder="1"/>
    <xf numFmtId="2" fontId="77" fillId="19" borderId="7" xfId="0" applyNumberFormat="1" applyFont="1" applyFill="1" applyBorder="1"/>
    <xf numFmtId="0" fontId="77" fillId="4" borderId="3" xfId="0" applyFont="1" applyFill="1" applyBorder="1"/>
    <xf numFmtId="2" fontId="77" fillId="4" borderId="7" xfId="0" applyNumberFormat="1" applyFont="1" applyFill="1" applyBorder="1"/>
    <xf numFmtId="0" fontId="77" fillId="4" borderId="4" xfId="0" applyFont="1" applyFill="1" applyBorder="1"/>
    <xf numFmtId="2" fontId="77" fillId="4" borderId="8" xfId="0" applyNumberFormat="1" applyFont="1" applyFill="1" applyBorder="1"/>
    <xf numFmtId="0" fontId="78" fillId="19" borderId="68" xfId="0" applyFont="1" applyFill="1" applyBorder="1"/>
    <xf numFmtId="0" fontId="0" fillId="19" borderId="17" xfId="0" applyFill="1" applyBorder="1"/>
    <xf numFmtId="0" fontId="0" fillId="19" borderId="10" xfId="0" applyFill="1" applyBorder="1"/>
    <xf numFmtId="2" fontId="0" fillId="19" borderId="11" xfId="0" applyNumberFormat="1" applyFill="1" applyBorder="1"/>
    <xf numFmtId="0" fontId="77" fillId="19" borderId="1" xfId="0" applyFont="1" applyFill="1" applyBorder="1"/>
    <xf numFmtId="2" fontId="77" fillId="19" borderId="6" xfId="0" applyNumberFormat="1" applyFont="1" applyFill="1" applyBorder="1"/>
    <xf numFmtId="0" fontId="78" fillId="19" borderId="29" xfId="0" applyFont="1" applyFill="1" applyBorder="1" applyAlignment="1">
      <alignment horizontal="left" vertical="center" wrapText="1"/>
    </xf>
    <xf numFmtId="0" fontId="0" fillId="4" borderId="4" xfId="0" applyFill="1" applyBorder="1"/>
    <xf numFmtId="2" fontId="0" fillId="4" borderId="8" xfId="0" applyNumberFormat="1" applyFill="1" applyBorder="1"/>
    <xf numFmtId="0" fontId="0" fillId="4" borderId="9" xfId="0" applyFill="1" applyBorder="1" applyAlignment="1">
      <alignment horizontal="center" vertical="center" wrapText="1"/>
    </xf>
    <xf numFmtId="0" fontId="85" fillId="4" borderId="18" xfId="0" applyFont="1" applyFill="1" applyBorder="1" applyAlignment="1">
      <alignment horizontal="center" vertical="center"/>
    </xf>
    <xf numFmtId="0" fontId="0" fillId="4" borderId="0" xfId="0" applyFill="1" applyAlignment="1">
      <alignment horizontal="center" wrapText="1"/>
    </xf>
    <xf numFmtId="0" fontId="0" fillId="4" borderId="18" xfId="0" applyFill="1" applyBorder="1" applyAlignment="1">
      <alignment horizontal="center" vertical="center" wrapText="1"/>
    </xf>
    <xf numFmtId="0" fontId="0" fillId="4" borderId="18" xfId="0" applyFill="1" applyBorder="1" applyAlignment="1">
      <alignment horizontal="center" wrapText="1"/>
    </xf>
    <xf numFmtId="0" fontId="8" fillId="46" borderId="28" xfId="4" applyFill="1" applyBorder="1"/>
    <xf numFmtId="0" fontId="2" fillId="11" borderId="19" xfId="2" applyFont="1" applyFill="1" applyBorder="1" applyAlignment="1">
      <alignment vertical="center"/>
    </xf>
    <xf numFmtId="0" fontId="92" fillId="11" borderId="18" xfId="0" applyFont="1" applyFill="1" applyBorder="1" applyAlignment="1">
      <alignment horizontal="center" vertical="center"/>
    </xf>
    <xf numFmtId="0" fontId="16" fillId="11" borderId="80" xfId="0" applyFont="1" applyFill="1" applyBorder="1" applyAlignment="1">
      <alignment horizontal="center" vertical="center"/>
    </xf>
    <xf numFmtId="0" fontId="63" fillId="3" borderId="44" xfId="2" applyFont="1" applyFill="1" applyBorder="1" applyAlignment="1">
      <alignment horizontal="center" vertical="center"/>
    </xf>
    <xf numFmtId="0" fontId="16" fillId="11" borderId="69" xfId="0" applyFont="1" applyFill="1" applyBorder="1" applyAlignment="1">
      <alignment vertical="center"/>
    </xf>
    <xf numFmtId="0" fontId="2" fillId="11" borderId="74" xfId="0" applyFont="1" applyFill="1" applyBorder="1" applyAlignment="1">
      <alignment vertical="center"/>
    </xf>
    <xf numFmtId="0" fontId="92" fillId="21" borderId="10" xfId="0" applyFont="1" applyFill="1" applyBorder="1" applyAlignment="1">
      <alignment horizontal="center" vertical="center"/>
    </xf>
    <xf numFmtId="0" fontId="0" fillId="4" borderId="18" xfId="0" applyFill="1" applyBorder="1"/>
    <xf numFmtId="0" fontId="0" fillId="4" borderId="77" xfId="0" applyFill="1" applyBorder="1" applyAlignment="1">
      <alignment vertical="center" wrapText="1"/>
    </xf>
    <xf numFmtId="0" fontId="0" fillId="3" borderId="8" xfId="0" applyFill="1" applyBorder="1"/>
    <xf numFmtId="0" fontId="0" fillId="4" borderId="77" xfId="0" applyFill="1" applyBorder="1" applyAlignment="1">
      <alignment wrapText="1"/>
    </xf>
    <xf numFmtId="0" fontId="0" fillId="3" borderId="32" xfId="0" applyFill="1" applyBorder="1"/>
    <xf numFmtId="0" fontId="0" fillId="4" borderId="77" xfId="0" applyFill="1" applyBorder="1" applyAlignment="1">
      <alignment horizontal="center"/>
    </xf>
    <xf numFmtId="0" fontId="0" fillId="4" borderId="77" xfId="0" applyFill="1" applyBorder="1" applyAlignment="1">
      <alignment horizontal="center" vertical="center"/>
    </xf>
    <xf numFmtId="0" fontId="0" fillId="4" borderId="77" xfId="0" applyFill="1" applyBorder="1" applyAlignment="1">
      <alignment horizontal="center" vertical="center" wrapText="1"/>
    </xf>
    <xf numFmtId="0" fontId="0" fillId="4" borderId="77" xfId="0" applyFill="1" applyBorder="1" applyAlignment="1">
      <alignment horizontal="center" wrapText="1"/>
    </xf>
    <xf numFmtId="0" fontId="0" fillId="4" borderId="77" xfId="0" applyFill="1" applyBorder="1" applyAlignment="1">
      <alignment vertical="center"/>
    </xf>
    <xf numFmtId="0" fontId="68" fillId="34" borderId="61" xfId="0" applyFont="1" applyFill="1" applyBorder="1"/>
    <xf numFmtId="0" fontId="4" fillId="3" borderId="32" xfId="0" applyFont="1" applyFill="1" applyBorder="1"/>
    <xf numFmtId="0" fontId="0" fillId="4" borderId="42" xfId="0" applyFill="1" applyBorder="1" applyAlignment="1">
      <alignment vertical="center" wrapText="1"/>
    </xf>
    <xf numFmtId="0" fontId="0" fillId="4" borderId="43" xfId="0" applyFill="1" applyBorder="1" applyAlignment="1">
      <alignment vertical="center" wrapText="1"/>
    </xf>
    <xf numFmtId="0" fontId="4" fillId="3" borderId="57" xfId="0" applyFont="1" applyFill="1" applyBorder="1"/>
    <xf numFmtId="0" fontId="91" fillId="3" borderId="57" xfId="0" applyFont="1" applyFill="1" applyBorder="1" applyAlignment="1">
      <alignment horizontal="center" vertical="center"/>
    </xf>
    <xf numFmtId="0" fontId="101" fillId="4" borderId="0" xfId="0" applyFont="1" applyFill="1"/>
    <xf numFmtId="0" fontId="85" fillId="6" borderId="0" xfId="0" applyFont="1" applyFill="1" applyAlignment="1">
      <alignment horizontal="center" vertical="center"/>
    </xf>
    <xf numFmtId="0" fontId="85" fillId="6" borderId="0" xfId="0" applyFont="1" applyFill="1" applyAlignment="1">
      <alignment vertical="center"/>
    </xf>
    <xf numFmtId="0" fontId="0" fillId="20" borderId="0" xfId="0" applyFill="1"/>
    <xf numFmtId="0" fontId="0" fillId="20" borderId="20" xfId="0" applyFill="1" applyBorder="1"/>
    <xf numFmtId="0" fontId="0" fillId="20" borderId="88" xfId="0" applyFill="1" applyBorder="1"/>
    <xf numFmtId="0" fontId="0" fillId="20" borderId="7" xfId="0" applyFill="1" applyBorder="1"/>
    <xf numFmtId="0" fontId="0" fillId="20" borderId="89" xfId="0" applyFill="1" applyBorder="1"/>
    <xf numFmtId="0" fontId="6" fillId="7" borderId="47" xfId="2" applyBorder="1" applyAlignment="1">
      <alignment vertical="center" wrapText="1"/>
    </xf>
    <xf numFmtId="0" fontId="6" fillId="7" borderId="89" xfId="2" applyBorder="1" applyAlignment="1">
      <alignment horizontal="center" vertical="center"/>
    </xf>
    <xf numFmtId="0" fontId="6" fillId="7" borderId="67" xfId="2" applyBorder="1" applyAlignment="1">
      <alignment horizontal="left" vertical="center"/>
    </xf>
    <xf numFmtId="0" fontId="70" fillId="20" borderId="12" xfId="0" applyFont="1" applyFill="1" applyBorder="1"/>
    <xf numFmtId="0" fontId="70" fillId="20" borderId="14" xfId="0" applyFont="1" applyFill="1" applyBorder="1"/>
    <xf numFmtId="0" fontId="67" fillId="3" borderId="70" xfId="0" applyFont="1" applyFill="1" applyBorder="1" applyAlignment="1">
      <alignment horizontal="center"/>
    </xf>
    <xf numFmtId="0" fontId="70" fillId="3" borderId="59" xfId="0" applyFont="1" applyFill="1" applyBorder="1"/>
    <xf numFmtId="0" fontId="6" fillId="7" borderId="60" xfId="2" applyBorder="1" applyAlignment="1">
      <alignment horizontal="center"/>
    </xf>
    <xf numFmtId="0" fontId="0" fillId="6" borderId="12" xfId="0" applyFill="1" applyBorder="1" applyAlignment="1">
      <alignment vertical="center" wrapText="1"/>
    </xf>
    <xf numFmtId="0" fontId="0" fillId="6" borderId="14" xfId="0" applyFill="1" applyBorder="1" applyAlignment="1">
      <alignment vertical="center" wrapText="1"/>
    </xf>
    <xf numFmtId="0" fontId="1" fillId="6" borderId="0" xfId="0" applyFont="1" applyFill="1" applyAlignment="1">
      <alignment horizontal="center"/>
    </xf>
    <xf numFmtId="0" fontId="0" fillId="6" borderId="12" xfId="0" applyFill="1" applyBorder="1" applyAlignment="1">
      <alignment horizontal="left"/>
    </xf>
    <xf numFmtId="0" fontId="0" fillId="6" borderId="3" xfId="0" applyFill="1" applyBorder="1" applyAlignment="1">
      <alignment vertical="center" wrapText="1"/>
    </xf>
    <xf numFmtId="0" fontId="4" fillId="6" borderId="0" xfId="0" applyFont="1" applyFill="1" applyAlignment="1">
      <alignment vertical="center" wrapText="1"/>
    </xf>
    <xf numFmtId="0" fontId="0" fillId="6" borderId="15" xfId="0" applyFill="1" applyBorder="1" applyAlignment="1">
      <alignment vertical="center" wrapText="1"/>
    </xf>
    <xf numFmtId="0" fontId="2" fillId="0" borderId="77" xfId="0" applyFont="1" applyBorder="1"/>
    <xf numFmtId="0" fontId="110" fillId="23" borderId="8" xfId="0" applyFont="1" applyFill="1" applyBorder="1" applyAlignment="1">
      <alignment horizontal="center"/>
    </xf>
    <xf numFmtId="0" fontId="110" fillId="23" borderId="45" xfId="0" applyFont="1" applyFill="1" applyBorder="1" applyAlignment="1">
      <alignment horizontal="center"/>
    </xf>
    <xf numFmtId="0" fontId="4" fillId="3" borderId="45" xfId="0" applyFont="1" applyFill="1" applyBorder="1"/>
    <xf numFmtId="0" fontId="0" fillId="21" borderId="28" xfId="0" applyFill="1" applyBorder="1" applyAlignment="1">
      <alignment vertical="center" wrapText="1"/>
    </xf>
    <xf numFmtId="0" fontId="75" fillId="0" borderId="9" xfId="0" applyFont="1" applyBorder="1"/>
    <xf numFmtId="0" fontId="0" fillId="0" borderId="88" xfId="0" applyBorder="1"/>
    <xf numFmtId="0" fontId="0" fillId="0" borderId="89" xfId="0" applyBorder="1"/>
    <xf numFmtId="0" fontId="75" fillId="0" borderId="12" xfId="0" applyFont="1" applyBorder="1"/>
    <xf numFmtId="0" fontId="0" fillId="41" borderId="16" xfId="0" applyFill="1" applyBorder="1"/>
    <xf numFmtId="2" fontId="0" fillId="21" borderId="0" xfId="0" applyNumberFormat="1" applyFill="1"/>
    <xf numFmtId="0" fontId="2" fillId="12" borderId="28" xfId="0" applyFont="1" applyFill="1" applyBorder="1"/>
    <xf numFmtId="0" fontId="2" fillId="0" borderId="28" xfId="0" applyFont="1" applyBorder="1"/>
    <xf numFmtId="0" fontId="2" fillId="0" borderId="15" xfId="0" applyFont="1" applyBorder="1"/>
    <xf numFmtId="0" fontId="16" fillId="0" borderId="0" xfId="3" applyFont="1" applyFill="1" applyBorder="1"/>
    <xf numFmtId="49" fontId="4" fillId="0" borderId="12" xfId="1" applyNumberFormat="1" applyFont="1" applyBorder="1"/>
    <xf numFmtId="0" fontId="16" fillId="0" borderId="12" xfId="3" applyFont="1" applyFill="1" applyBorder="1"/>
    <xf numFmtId="0" fontId="0" fillId="4" borderId="41" xfId="0" applyFill="1" applyBorder="1" applyAlignment="1">
      <alignment horizontal="center" vertical="center" wrapText="1"/>
    </xf>
    <xf numFmtId="0" fontId="0" fillId="11" borderId="18" xfId="0" applyFill="1" applyBorder="1"/>
    <xf numFmtId="0" fontId="0" fillId="11" borderId="19" xfId="0" applyFill="1" applyBorder="1"/>
    <xf numFmtId="0" fontId="104" fillId="6" borderId="15" xfId="1" applyFont="1" applyFill="1" applyBorder="1"/>
    <xf numFmtId="0" fontId="77" fillId="5" borderId="0" xfId="0" applyFont="1" applyFill="1" applyAlignment="1">
      <alignment horizontal="center"/>
    </xf>
    <xf numFmtId="0" fontId="77" fillId="18" borderId="0" xfId="0" applyFont="1" applyFill="1"/>
    <xf numFmtId="0" fontId="77" fillId="18" borderId="0" xfId="0" applyFont="1" applyFill="1" applyAlignment="1">
      <alignment horizontal="center"/>
    </xf>
    <xf numFmtId="0" fontId="0" fillId="34" borderId="0" xfId="0" applyFill="1"/>
    <xf numFmtId="0" fontId="0" fillId="34" borderId="0" xfId="0" applyFill="1" applyAlignment="1">
      <alignment horizontal="center"/>
    </xf>
    <xf numFmtId="0" fontId="77" fillId="34" borderId="0" xfId="0" applyFont="1" applyFill="1" applyAlignment="1">
      <alignment horizontal="center"/>
    </xf>
    <xf numFmtId="0" fontId="77" fillId="4" borderId="0" xfId="0" applyFont="1" applyFill="1" applyAlignment="1">
      <alignment horizontal="center"/>
    </xf>
    <xf numFmtId="0" fontId="129" fillId="0" borderId="0" xfId="0" applyFont="1"/>
    <xf numFmtId="0" fontId="49" fillId="0" borderId="0" xfId="0" applyFont="1"/>
    <xf numFmtId="0" fontId="40" fillId="0" borderId="98" xfId="0" applyFont="1" applyBorder="1"/>
    <xf numFmtId="0" fontId="41" fillId="0" borderId="99" xfId="0" applyFont="1" applyBorder="1"/>
    <xf numFmtId="0" fontId="41" fillId="0" borderId="100" xfId="0" applyFont="1" applyBorder="1"/>
    <xf numFmtId="0" fontId="41" fillId="0" borderId="101" xfId="0" applyFont="1" applyBorder="1"/>
    <xf numFmtId="0" fontId="41" fillId="0" borderId="102" xfId="0" applyFont="1" applyBorder="1"/>
    <xf numFmtId="0" fontId="40" fillId="0" borderId="10" xfId="0" applyFont="1" applyBorder="1"/>
    <xf numFmtId="0" fontId="40" fillId="0" borderId="10" xfId="0" applyFont="1" applyBorder="1" applyAlignment="1">
      <alignment wrapText="1"/>
    </xf>
    <xf numFmtId="0" fontId="61" fillId="0" borderId="0" xfId="0" applyFont="1"/>
    <xf numFmtId="0" fontId="40" fillId="0" borderId="99" xfId="0" applyFont="1" applyBorder="1"/>
    <xf numFmtId="0" fontId="40" fillId="0" borderId="100" xfId="0" applyFont="1" applyBorder="1"/>
    <xf numFmtId="165" fontId="41" fillId="0" borderId="100" xfId="0" applyNumberFormat="1" applyFont="1" applyBorder="1"/>
    <xf numFmtId="2" fontId="41" fillId="0" borderId="104" xfId="0" applyNumberFormat="1" applyFont="1" applyBorder="1"/>
    <xf numFmtId="165" fontId="41" fillId="0" borderId="104" xfId="0" applyNumberFormat="1" applyFont="1" applyBorder="1"/>
    <xf numFmtId="0" fontId="41" fillId="0" borderId="104" xfId="0" applyFont="1" applyBorder="1"/>
    <xf numFmtId="2" fontId="41" fillId="0" borderId="100" xfId="0" applyNumberFormat="1" applyFont="1" applyBorder="1"/>
    <xf numFmtId="2" fontId="41" fillId="0" borderId="102" xfId="0" applyNumberFormat="1" applyFont="1" applyBorder="1"/>
    <xf numFmtId="0" fontId="49" fillId="0" borderId="104" xfId="0" applyFont="1" applyBorder="1"/>
    <xf numFmtId="0" fontId="40" fillId="0" borderId="103" xfId="0" applyFont="1" applyBorder="1"/>
    <xf numFmtId="0" fontId="41" fillId="0" borderId="103" xfId="0" applyFont="1" applyBorder="1"/>
    <xf numFmtId="0" fontId="41" fillId="0" borderId="106" xfId="0" applyFont="1" applyBorder="1"/>
    <xf numFmtId="2" fontId="40" fillId="0" borderId="107" xfId="0" applyNumberFormat="1" applyFont="1" applyBorder="1"/>
    <xf numFmtId="2" fontId="40" fillId="0" borderId="103" xfId="0" applyNumberFormat="1" applyFont="1" applyBorder="1"/>
    <xf numFmtId="2" fontId="40" fillId="0" borderId="97" xfId="0" applyNumberFormat="1" applyFont="1" applyBorder="1"/>
    <xf numFmtId="165" fontId="41" fillId="0" borderId="99" xfId="0" applyNumberFormat="1" applyFont="1" applyBorder="1"/>
    <xf numFmtId="165" fontId="41" fillId="0" borderId="102" xfId="0" applyNumberFormat="1" applyFont="1" applyBorder="1"/>
    <xf numFmtId="165" fontId="41" fillId="0" borderId="101" xfId="0" applyNumberFormat="1" applyFont="1" applyBorder="1"/>
    <xf numFmtId="0" fontId="38" fillId="0" borderId="104" xfId="0" applyFont="1" applyBorder="1"/>
    <xf numFmtId="0" fontId="38" fillId="0" borderId="108" xfId="0" applyFont="1" applyBorder="1"/>
    <xf numFmtId="0" fontId="38" fillId="0" borderId="106" xfId="0" applyFont="1" applyBorder="1"/>
    <xf numFmtId="0" fontId="84" fillId="0" borderId="108" xfId="0" applyFont="1" applyBorder="1"/>
    <xf numFmtId="0" fontId="84" fillId="0" borderId="104" xfId="0" applyFont="1" applyBorder="1"/>
    <xf numFmtId="0" fontId="83" fillId="0" borderId="104" xfId="0" applyFont="1" applyBorder="1"/>
    <xf numFmtId="0" fontId="37" fillId="32" borderId="100" xfId="0" applyFont="1" applyFill="1" applyBorder="1"/>
    <xf numFmtId="0" fontId="38" fillId="0" borderId="100" xfId="0" applyFont="1" applyBorder="1"/>
    <xf numFmtId="0" fontId="38" fillId="0" borderId="102" xfId="0" applyFont="1" applyBorder="1"/>
    <xf numFmtId="0" fontId="38" fillId="0" borderId="109" xfId="0" applyFont="1" applyBorder="1"/>
    <xf numFmtId="0" fontId="31" fillId="85" borderId="32" xfId="0" applyFont="1" applyFill="1" applyBorder="1"/>
    <xf numFmtId="0" fontId="31" fillId="86" borderId="32" xfId="0" applyFont="1" applyFill="1" applyBorder="1"/>
    <xf numFmtId="0" fontId="31" fillId="87" borderId="32" xfId="0" applyFont="1" applyFill="1" applyBorder="1"/>
    <xf numFmtId="0" fontId="130" fillId="0" borderId="6" xfId="0" applyFont="1" applyBorder="1" applyAlignment="1">
      <alignment wrapText="1"/>
    </xf>
    <xf numFmtId="0" fontId="130" fillId="0" borderId="11" xfId="0" applyFont="1" applyBorder="1" applyAlignment="1">
      <alignment wrapText="1"/>
    </xf>
    <xf numFmtId="0" fontId="33" fillId="0" borderId="0" xfId="0" applyFont="1" applyAlignment="1">
      <alignment wrapText="1"/>
    </xf>
    <xf numFmtId="0" fontId="35" fillId="0" borderId="0" xfId="0" applyFont="1"/>
    <xf numFmtId="0" fontId="128" fillId="0" borderId="0" xfId="0" applyFont="1"/>
    <xf numFmtId="0" fontId="127" fillId="0" borderId="110" xfId="0" applyFont="1" applyBorder="1"/>
    <xf numFmtId="0" fontId="32" fillId="0" borderId="111" xfId="0" applyFont="1" applyBorder="1" applyAlignment="1">
      <alignment wrapText="1"/>
    </xf>
    <xf numFmtId="0" fontId="34" fillId="0" borderId="112" xfId="0" applyFont="1" applyBorder="1"/>
    <xf numFmtId="0" fontId="32" fillId="0" borderId="112" xfId="0" applyFont="1" applyBorder="1"/>
    <xf numFmtId="0" fontId="34" fillId="0" borderId="113" xfId="0" applyFont="1" applyBorder="1"/>
    <xf numFmtId="0" fontId="6" fillId="7" borderId="114" xfId="2" applyBorder="1"/>
    <xf numFmtId="0" fontId="131" fillId="0" borderId="0" xfId="0" applyFont="1" applyAlignment="1">
      <alignment vertical="center" wrapText="1"/>
    </xf>
    <xf numFmtId="0" fontId="131" fillId="10" borderId="0" xfId="0" applyFont="1" applyFill="1" applyAlignment="1">
      <alignment wrapText="1"/>
    </xf>
    <xf numFmtId="0" fontId="16" fillId="11" borderId="19" xfId="0" applyFont="1" applyFill="1" applyBorder="1" applyAlignment="1">
      <alignment vertical="center"/>
    </xf>
    <xf numFmtId="0" fontId="16" fillId="28" borderId="10" xfId="0" applyFont="1" applyFill="1" applyBorder="1"/>
    <xf numFmtId="0" fontId="16" fillId="28" borderId="31" xfId="0" applyFont="1" applyFill="1" applyBorder="1"/>
    <xf numFmtId="0" fontId="4" fillId="3" borderId="6" xfId="0" applyFont="1" applyFill="1" applyBorder="1"/>
    <xf numFmtId="0" fontId="4" fillId="23" borderId="29" xfId="0" applyFont="1" applyFill="1" applyBorder="1"/>
    <xf numFmtId="0" fontId="17" fillId="20" borderId="8" xfId="0" applyFont="1" applyFill="1" applyBorder="1" applyAlignment="1">
      <alignment horizontal="center" vertical="center"/>
    </xf>
    <xf numFmtId="0" fontId="16" fillId="20" borderId="4" xfId="0" applyFont="1" applyFill="1" applyBorder="1"/>
    <xf numFmtId="0" fontId="77" fillId="32" borderId="69" xfId="0" applyFont="1" applyFill="1" applyBorder="1" applyAlignment="1">
      <alignment horizontal="left"/>
    </xf>
    <xf numFmtId="0" fontId="78" fillId="32" borderId="0" xfId="0" applyFont="1" applyFill="1" applyAlignment="1">
      <alignment horizontal="center"/>
    </xf>
    <xf numFmtId="0" fontId="78" fillId="32" borderId="13" xfId="0" applyFont="1" applyFill="1" applyBorder="1" applyAlignment="1">
      <alignment horizontal="center"/>
    </xf>
    <xf numFmtId="0" fontId="78" fillId="32" borderId="12" xfId="0" applyFont="1" applyFill="1" applyBorder="1" applyAlignment="1">
      <alignment horizontal="center"/>
    </xf>
    <xf numFmtId="0" fontId="78" fillId="32" borderId="10" xfId="0" applyFont="1" applyFill="1" applyBorder="1" applyAlignment="1">
      <alignment horizontal="center"/>
    </xf>
    <xf numFmtId="0" fontId="78" fillId="32" borderId="11" xfId="0" applyFont="1" applyFill="1" applyBorder="1" applyAlignment="1">
      <alignment horizontal="center"/>
    </xf>
    <xf numFmtId="0" fontId="78" fillId="32" borderId="9" xfId="0" applyFont="1" applyFill="1" applyBorder="1" applyAlignment="1">
      <alignment horizontal="center"/>
    </xf>
    <xf numFmtId="0" fontId="2" fillId="0" borderId="0" xfId="0" applyFont="1" applyAlignment="1">
      <alignment wrapText="1"/>
    </xf>
    <xf numFmtId="0" fontId="6" fillId="45" borderId="28" xfId="2" applyFill="1" applyBorder="1"/>
    <xf numFmtId="9" fontId="6" fillId="7" borderId="115" xfId="5" applyFont="1" applyFill="1" applyBorder="1"/>
    <xf numFmtId="0" fontId="6" fillId="21" borderId="80" xfId="2" applyFill="1" applyBorder="1" applyAlignment="1">
      <alignment horizontal="center" vertical="center" wrapText="1"/>
    </xf>
    <xf numFmtId="0" fontId="6" fillId="21" borderId="19" xfId="2" applyFill="1" applyBorder="1" applyAlignment="1">
      <alignment horizontal="center" vertical="center" wrapText="1"/>
    </xf>
    <xf numFmtId="166" fontId="0" fillId="0" borderId="0" xfId="0" applyNumberFormat="1"/>
    <xf numFmtId="0" fontId="8" fillId="88" borderId="0" xfId="4" applyFill="1" applyBorder="1"/>
    <xf numFmtId="0" fontId="6" fillId="88" borderId="0" xfId="2" applyFill="1" applyBorder="1"/>
    <xf numFmtId="2" fontId="67" fillId="3" borderId="28" xfId="0" applyNumberFormat="1" applyFont="1" applyFill="1" applyBorder="1" applyAlignment="1">
      <alignment horizontal="right"/>
    </xf>
    <xf numFmtId="0" fontId="2" fillId="32" borderId="9" xfId="0" applyFont="1" applyFill="1" applyBorder="1"/>
    <xf numFmtId="0" fontId="2" fillId="32" borderId="10" xfId="0" applyFont="1" applyFill="1" applyBorder="1" applyAlignment="1">
      <alignment wrapText="1"/>
    </xf>
    <xf numFmtId="0" fontId="2" fillId="32" borderId="11" xfId="0" applyFont="1" applyFill="1" applyBorder="1" applyAlignment="1">
      <alignment horizontal="center" wrapText="1"/>
    </xf>
    <xf numFmtId="0" fontId="0" fillId="38" borderId="14" xfId="0" applyFill="1" applyBorder="1"/>
    <xf numFmtId="0" fontId="2" fillId="38" borderId="15" xfId="0" applyFont="1" applyFill="1" applyBorder="1"/>
    <xf numFmtId="2" fontId="0" fillId="38" borderId="16" xfId="0" applyNumberFormat="1" applyFill="1" applyBorder="1"/>
    <xf numFmtId="2" fontId="0" fillId="31" borderId="0" xfId="0" applyNumberFormat="1" applyFill="1"/>
    <xf numFmtId="2" fontId="0" fillId="44" borderId="0" xfId="0" applyNumberFormat="1" applyFill="1"/>
    <xf numFmtId="165" fontId="11" fillId="0" borderId="0" xfId="0" applyNumberFormat="1" applyFont="1" applyAlignment="1">
      <alignment horizontal="center"/>
    </xf>
    <xf numFmtId="0" fontId="11" fillId="0" borderId="0" xfId="0" applyFont="1"/>
    <xf numFmtId="0" fontId="12" fillId="0" borderId="0" xfId="0" applyFont="1"/>
    <xf numFmtId="0" fontId="0" fillId="0" borderId="0" xfId="0" applyAlignment="1">
      <alignment horizontal="center" vertical="center" wrapText="1"/>
    </xf>
    <xf numFmtId="0" fontId="91" fillId="39" borderId="18" xfId="0" applyFont="1" applyFill="1" applyBorder="1" applyAlignment="1">
      <alignment horizontal="center"/>
    </xf>
    <xf numFmtId="0" fontId="91" fillId="39" borderId="19" xfId="0" applyFont="1" applyFill="1" applyBorder="1" applyAlignment="1">
      <alignment horizontal="center"/>
    </xf>
    <xf numFmtId="0" fontId="91" fillId="39" borderId="9" xfId="0" applyFont="1" applyFill="1" applyBorder="1" applyAlignment="1">
      <alignment horizontal="center"/>
    </xf>
    <xf numFmtId="0" fontId="91" fillId="39" borderId="11" xfId="0" applyFont="1" applyFill="1" applyBorder="1" applyAlignment="1">
      <alignment horizont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34" fillId="0" borderId="0" xfId="0" applyFont="1" applyAlignment="1">
      <alignment horizontal="left"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0" xfId="0" applyFill="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79" fillId="0" borderId="18" xfId="0" applyFont="1" applyBorder="1" applyAlignment="1">
      <alignment horizontal="center"/>
    </xf>
    <xf numFmtId="0" fontId="79" fillId="0" borderId="20" xfId="0" applyFont="1" applyBorder="1" applyAlignment="1">
      <alignment horizontal="center"/>
    </xf>
    <xf numFmtId="0" fontId="79" fillId="0" borderId="19" xfId="0" applyFont="1" applyBorder="1" applyAlignment="1">
      <alignment horizontal="center"/>
    </xf>
    <xf numFmtId="0" fontId="65" fillId="18" borderId="20" xfId="8" applyFont="1" applyFill="1" applyBorder="1" applyAlignment="1">
      <alignment horizontal="center"/>
    </xf>
    <xf numFmtId="0" fontId="65" fillId="18" borderId="19" xfId="8" applyFont="1" applyFill="1" applyBorder="1" applyAlignment="1">
      <alignment horizontal="center"/>
    </xf>
    <xf numFmtId="0" fontId="16" fillId="22" borderId="20" xfId="9" applyFont="1" applyBorder="1" applyAlignment="1">
      <alignment horizontal="center" vertical="center"/>
    </xf>
    <xf numFmtId="0" fontId="16" fillId="22" borderId="18" xfId="9" applyFont="1" applyBorder="1" applyAlignment="1">
      <alignment horizontal="center" vertical="center"/>
    </xf>
    <xf numFmtId="0" fontId="16" fillId="22" borderId="77" xfId="9" applyFont="1" applyBorder="1" applyAlignment="1">
      <alignment horizontal="center" vertical="center"/>
    </xf>
    <xf numFmtId="0" fontId="79" fillId="0" borderId="9" xfId="0" applyFont="1" applyBorder="1" applyAlignment="1">
      <alignment horizontal="center"/>
    </xf>
    <xf numFmtId="0" fontId="85" fillId="4" borderId="18" xfId="0" applyFont="1" applyFill="1" applyBorder="1" applyAlignment="1">
      <alignment horizontal="center" vertical="center"/>
    </xf>
    <xf numFmtId="0" fontId="85" fillId="4" borderId="20" xfId="0" applyFont="1" applyFill="1" applyBorder="1" applyAlignment="1">
      <alignment horizontal="center" vertical="center"/>
    </xf>
    <xf numFmtId="0" fontId="85" fillId="4" borderId="19" xfId="0" applyFont="1" applyFill="1" applyBorder="1" applyAlignment="1">
      <alignment horizontal="center" vertical="center"/>
    </xf>
    <xf numFmtId="0" fontId="0" fillId="4" borderId="9" xfId="0" applyFill="1" applyBorder="1" applyAlignment="1">
      <alignment horizontal="center" wrapText="1"/>
    </xf>
    <xf numFmtId="0" fontId="0" fillId="4" borderId="10" xfId="0" applyFill="1" applyBorder="1" applyAlignment="1">
      <alignment horizontal="center" wrapText="1"/>
    </xf>
    <xf numFmtId="0" fontId="0" fillId="4" borderId="11" xfId="0" applyFill="1" applyBorder="1" applyAlignment="1">
      <alignment horizontal="center" wrapText="1"/>
    </xf>
    <xf numFmtId="0" fontId="0" fillId="4" borderId="12" xfId="0" applyFill="1" applyBorder="1" applyAlignment="1">
      <alignment horizontal="center" wrapText="1"/>
    </xf>
    <xf numFmtId="0" fontId="0" fillId="4" borderId="0" xfId="0" applyFill="1" applyAlignment="1">
      <alignment horizontal="center" wrapText="1"/>
    </xf>
    <xf numFmtId="0" fontId="0" fillId="4" borderId="13" xfId="0" applyFill="1" applyBorder="1" applyAlignment="1">
      <alignment horizontal="center" wrapText="1"/>
    </xf>
    <xf numFmtId="0" fontId="4" fillId="4" borderId="9" xfId="0" applyFont="1" applyFill="1" applyBorder="1" applyAlignment="1">
      <alignment horizontal="center" wrapText="1"/>
    </xf>
    <xf numFmtId="0" fontId="4" fillId="4" borderId="10" xfId="0" applyFont="1" applyFill="1" applyBorder="1" applyAlignment="1">
      <alignment horizontal="center" wrapText="1"/>
    </xf>
    <xf numFmtId="0" fontId="4" fillId="4" borderId="11" xfId="0" applyFont="1" applyFill="1" applyBorder="1" applyAlignment="1">
      <alignment horizontal="center" wrapText="1"/>
    </xf>
    <xf numFmtId="0" fontId="4" fillId="4" borderId="12" xfId="0" applyFont="1" applyFill="1" applyBorder="1" applyAlignment="1">
      <alignment horizontal="center" wrapText="1"/>
    </xf>
    <xf numFmtId="0" fontId="4" fillId="4" borderId="0" xfId="0" applyFont="1" applyFill="1" applyAlignment="1">
      <alignment horizontal="center" wrapText="1"/>
    </xf>
    <xf numFmtId="0" fontId="4" fillId="4" borderId="13" xfId="0" applyFont="1" applyFill="1" applyBorder="1" applyAlignment="1">
      <alignment horizontal="center" wrapText="1"/>
    </xf>
    <xf numFmtId="0" fontId="4" fillId="4" borderId="14" xfId="0" applyFont="1" applyFill="1" applyBorder="1" applyAlignment="1">
      <alignment horizontal="center" wrapText="1"/>
    </xf>
    <xf numFmtId="0" fontId="4" fillId="4" borderId="15" xfId="0" applyFont="1" applyFill="1" applyBorder="1" applyAlignment="1">
      <alignment horizontal="center" wrapText="1"/>
    </xf>
    <xf numFmtId="0" fontId="4" fillId="4" borderId="16" xfId="0" applyFont="1" applyFill="1" applyBorder="1" applyAlignment="1">
      <alignment horizontal="center" wrapText="1"/>
    </xf>
    <xf numFmtId="0" fontId="0" fillId="4" borderId="18"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16" fillId="22" borderId="87" xfId="9" applyFont="1" applyBorder="1" applyAlignment="1">
      <alignment horizontal="center" vertical="center"/>
    </xf>
    <xf numFmtId="0" fontId="16" fillId="22" borderId="53" xfId="9" applyFont="1" applyBorder="1" applyAlignment="1">
      <alignment horizontal="center" vertical="center"/>
    </xf>
    <xf numFmtId="0" fontId="16" fillId="22" borderId="79" xfId="9" applyFont="1" applyBorder="1" applyAlignment="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69" fillId="22" borderId="20" xfId="9" applyFont="1" applyBorder="1" applyAlignment="1">
      <alignment horizontal="center" vertical="center"/>
    </xf>
    <xf numFmtId="0" fontId="69" fillId="22" borderId="18" xfId="9" applyFont="1" applyBorder="1" applyAlignment="1">
      <alignment horizontal="center" vertical="center"/>
    </xf>
    <xf numFmtId="0" fontId="69" fillId="22" borderId="18" xfId="9" applyFont="1" applyBorder="1" applyAlignment="1">
      <alignment horizontal="center"/>
    </xf>
    <xf numFmtId="0" fontId="69" fillId="22" borderId="19" xfId="9" applyFont="1" applyBorder="1" applyAlignment="1">
      <alignment horizontal="center"/>
    </xf>
    <xf numFmtId="0" fontId="74" fillId="22" borderId="10" xfId="9" applyFont="1" applyBorder="1" applyAlignment="1">
      <alignment horizontal="center"/>
    </xf>
    <xf numFmtId="0" fontId="74" fillId="22" borderId="9" xfId="9" applyFont="1" applyBorder="1" applyAlignment="1">
      <alignment horizontal="center"/>
    </xf>
    <xf numFmtId="0" fontId="74" fillId="22" borderId="11" xfId="9" applyFont="1" applyBorder="1" applyAlignment="1">
      <alignment horizontal="center"/>
    </xf>
    <xf numFmtId="0" fontId="85" fillId="3" borderId="18" xfId="8" applyFont="1" applyFill="1" applyBorder="1" applyAlignment="1">
      <alignment horizontal="center"/>
    </xf>
    <xf numFmtId="0" fontId="85" fillId="3" borderId="20" xfId="8" applyFont="1" applyFill="1" applyBorder="1" applyAlignment="1">
      <alignment horizontal="center"/>
    </xf>
    <xf numFmtId="0" fontId="69" fillId="3" borderId="9" xfId="0" applyFont="1" applyFill="1" applyBorder="1" applyAlignment="1">
      <alignment horizontal="center"/>
    </xf>
    <xf numFmtId="0" fontId="69" fillId="3" borderId="11" xfId="0" applyFont="1" applyFill="1" applyBorder="1" applyAlignment="1">
      <alignment horizontal="center"/>
    </xf>
    <xf numFmtId="0" fontId="71" fillId="7" borderId="14" xfId="2" applyFont="1" applyBorder="1" applyAlignment="1">
      <alignment horizontal="center"/>
    </xf>
    <xf numFmtId="0" fontId="71" fillId="7" borderId="16" xfId="2" applyFont="1" applyBorder="1" applyAlignment="1">
      <alignment horizontal="center"/>
    </xf>
    <xf numFmtId="0" fontId="64" fillId="39" borderId="18" xfId="7" applyFont="1" applyFill="1" applyBorder="1" applyAlignment="1">
      <alignment horizontal="center"/>
    </xf>
    <xf numFmtId="0" fontId="64" fillId="39" borderId="20" xfId="7" applyFont="1" applyFill="1" applyBorder="1" applyAlignment="1">
      <alignment horizontal="center"/>
    </xf>
    <xf numFmtId="0" fontId="64" fillId="39" borderId="19" xfId="7" applyFont="1" applyFill="1" applyBorder="1" applyAlignment="1">
      <alignment horizontal="center"/>
    </xf>
    <xf numFmtId="0" fontId="74" fillId="22" borderId="12" xfId="9" applyFont="1" applyBorder="1" applyAlignment="1">
      <alignment horizontal="center"/>
    </xf>
    <xf numFmtId="0" fontId="74" fillId="22" borderId="0" xfId="9" applyFont="1" applyBorder="1" applyAlignment="1">
      <alignment horizontal="center"/>
    </xf>
    <xf numFmtId="0" fontId="64" fillId="39" borderId="61" xfId="7" applyFont="1" applyFill="1" applyBorder="1" applyAlignment="1">
      <alignment horizontal="center"/>
    </xf>
    <xf numFmtId="0" fontId="85" fillId="32" borderId="9" xfId="0" applyFont="1" applyFill="1" applyBorder="1" applyAlignment="1">
      <alignment horizontal="center" vertical="center"/>
    </xf>
    <xf numFmtId="0" fontId="85" fillId="32" borderId="11" xfId="0" applyFont="1" applyFill="1" applyBorder="1" applyAlignment="1">
      <alignment horizontal="center" vertical="center"/>
    </xf>
    <xf numFmtId="0" fontId="93" fillId="32" borderId="14" xfId="1" applyFont="1" applyFill="1" applyBorder="1" applyAlignment="1">
      <alignment horizontal="center" vertical="center"/>
    </xf>
    <xf numFmtId="0" fontId="93" fillId="32" borderId="16" xfId="1" applyFont="1" applyFill="1" applyBorder="1" applyAlignment="1">
      <alignment horizontal="center" vertical="center"/>
    </xf>
    <xf numFmtId="0" fontId="74" fillId="22" borderId="18" xfId="9" applyFont="1" applyBorder="1" applyAlignment="1">
      <alignment horizontal="center"/>
    </xf>
    <xf numFmtId="0" fontId="74" fillId="22" borderId="20" xfId="9" applyFont="1" applyBorder="1" applyAlignment="1">
      <alignment horizontal="center"/>
    </xf>
    <xf numFmtId="0" fontId="74" fillId="22" borderId="19" xfId="9" applyFont="1" applyBorder="1" applyAlignment="1">
      <alignment horizontal="center"/>
    </xf>
    <xf numFmtId="0" fontId="74" fillId="22" borderId="14" xfId="9" applyFont="1" applyBorder="1" applyAlignment="1">
      <alignment horizontal="center"/>
    </xf>
    <xf numFmtId="0" fontId="74" fillId="22" borderId="15" xfId="9" applyFont="1" applyBorder="1" applyAlignment="1">
      <alignment horizontal="center"/>
    </xf>
    <xf numFmtId="0" fontId="74" fillId="22" borderId="16" xfId="9" applyFont="1" applyBorder="1" applyAlignment="1">
      <alignment horizontal="center"/>
    </xf>
    <xf numFmtId="0" fontId="68" fillId="0" borderId="18" xfId="0" applyFont="1" applyBorder="1" applyAlignment="1">
      <alignment horizontal="center" vertical="center"/>
    </xf>
    <xf numFmtId="0" fontId="68" fillId="0" borderId="19" xfId="0" applyFont="1" applyBorder="1" applyAlignment="1">
      <alignment horizontal="center" vertical="center"/>
    </xf>
    <xf numFmtId="0" fontId="74" fillId="22" borderId="13" xfId="9" applyFont="1" applyBorder="1" applyAlignment="1">
      <alignment horizontal="center"/>
    </xf>
    <xf numFmtId="0" fontId="99" fillId="39" borderId="18" xfId="7" applyFont="1" applyFill="1" applyBorder="1" applyAlignment="1">
      <alignment horizontal="center"/>
    </xf>
    <xf numFmtId="0" fontId="99" fillId="39" borderId="20" xfId="7" applyFont="1" applyFill="1" applyBorder="1" applyAlignment="1">
      <alignment horizontal="center"/>
    </xf>
    <xf numFmtId="0" fontId="99" fillId="39" borderId="19" xfId="7" applyFont="1" applyFill="1" applyBorder="1" applyAlignment="1">
      <alignment horizontal="center"/>
    </xf>
    <xf numFmtId="0" fontId="0" fillId="4" borderId="41" xfId="0" applyFill="1" applyBorder="1" applyAlignment="1">
      <alignment horizontal="center" vertical="center"/>
    </xf>
    <xf numFmtId="0" fontId="0" fillId="4" borderId="43" xfId="0" applyFill="1" applyBorder="1" applyAlignment="1">
      <alignment horizontal="center" vertical="center"/>
    </xf>
    <xf numFmtId="0" fontId="0" fillId="4" borderId="41" xfId="0" applyFill="1" applyBorder="1" applyAlignment="1">
      <alignment horizontal="center" vertical="center" wrapText="1"/>
    </xf>
    <xf numFmtId="0" fontId="0" fillId="4" borderId="42" xfId="0" applyFill="1" applyBorder="1" applyAlignment="1">
      <alignment horizontal="center" vertical="center" wrapText="1"/>
    </xf>
    <xf numFmtId="0" fontId="0" fillId="4" borderId="43" xfId="0" applyFill="1" applyBorder="1" applyAlignment="1">
      <alignment horizontal="center" vertical="center" wrapText="1"/>
    </xf>
    <xf numFmtId="0" fontId="132" fillId="22" borderId="9" xfId="9" applyFont="1" applyBorder="1" applyAlignment="1">
      <alignment horizontal="center"/>
    </xf>
    <xf numFmtId="0" fontId="132" fillId="22" borderId="11" xfId="9" applyFont="1" applyBorder="1" applyAlignment="1">
      <alignment horizontal="center"/>
    </xf>
    <xf numFmtId="0" fontId="25" fillId="6" borderId="18" xfId="0" applyFont="1" applyFill="1" applyBorder="1" applyAlignment="1">
      <alignment horizontal="center" wrapText="1"/>
    </xf>
    <xf numFmtId="0" fontId="25" fillId="6" borderId="19" xfId="0" applyFont="1" applyFill="1" applyBorder="1" applyAlignment="1">
      <alignment horizontal="center" wrapText="1"/>
    </xf>
    <xf numFmtId="0" fontId="26" fillId="6" borderId="0" xfId="0" applyFont="1" applyFill="1" applyAlignment="1">
      <alignment horizontal="left" vertical="center" wrapText="1"/>
    </xf>
    <xf numFmtId="0" fontId="26" fillId="6" borderId="13" xfId="0" applyFont="1" applyFill="1" applyBorder="1" applyAlignment="1">
      <alignment horizontal="left" vertical="center" wrapText="1"/>
    </xf>
    <xf numFmtId="0" fontId="4" fillId="4" borderId="9" xfId="2" applyFont="1" applyFill="1" applyBorder="1" applyAlignment="1">
      <alignment horizontal="center" vertical="center" wrapText="1"/>
    </xf>
    <xf numFmtId="0" fontId="4" fillId="4" borderId="10" xfId="2" applyFont="1" applyFill="1" applyBorder="1" applyAlignment="1">
      <alignment horizontal="center" vertical="center" wrapText="1"/>
    </xf>
    <xf numFmtId="0" fontId="4" fillId="4" borderId="11" xfId="2" applyFont="1" applyFill="1" applyBorder="1" applyAlignment="1">
      <alignment horizontal="center" vertical="center" wrapText="1"/>
    </xf>
    <xf numFmtId="0" fontId="4" fillId="4" borderId="12" xfId="2" applyFont="1" applyFill="1" applyBorder="1" applyAlignment="1">
      <alignment horizontal="center" vertical="center" wrapText="1"/>
    </xf>
    <xf numFmtId="0" fontId="4" fillId="4" borderId="0" xfId="2" applyFont="1" applyFill="1" applyBorder="1" applyAlignment="1">
      <alignment horizontal="center" vertical="center" wrapText="1"/>
    </xf>
    <xf numFmtId="0" fontId="4" fillId="4" borderId="13" xfId="2" applyFont="1" applyFill="1" applyBorder="1" applyAlignment="1">
      <alignment horizontal="center" vertical="center" wrapText="1"/>
    </xf>
    <xf numFmtId="0" fontId="4" fillId="4" borderId="14" xfId="2" applyFont="1" applyFill="1" applyBorder="1" applyAlignment="1">
      <alignment horizontal="center" vertical="center" wrapText="1"/>
    </xf>
    <xf numFmtId="0" fontId="4" fillId="4" borderId="15" xfId="2" applyFont="1" applyFill="1" applyBorder="1" applyAlignment="1">
      <alignment horizontal="center" vertical="center" wrapText="1"/>
    </xf>
    <xf numFmtId="0" fontId="4" fillId="4" borderId="16" xfId="2" applyFont="1" applyFill="1" applyBorder="1" applyAlignment="1">
      <alignment horizontal="center" vertical="center" wrapText="1"/>
    </xf>
    <xf numFmtId="0" fontId="78" fillId="42" borderId="73" xfId="0" applyFont="1" applyFill="1" applyBorder="1" applyAlignment="1">
      <alignment horizontal="center" vertical="center" wrapText="1"/>
    </xf>
    <xf numFmtId="0" fontId="78" fillId="42" borderId="46" xfId="0" applyFont="1" applyFill="1" applyBorder="1" applyAlignment="1">
      <alignment horizontal="center" vertical="center" wrapText="1"/>
    </xf>
    <xf numFmtId="0" fontId="78" fillId="42" borderId="75" xfId="0" applyFont="1" applyFill="1" applyBorder="1" applyAlignment="1">
      <alignment horizontal="center" vertical="center" wrapText="1"/>
    </xf>
    <xf numFmtId="0" fontId="78" fillId="37" borderId="68" xfId="0" applyFont="1" applyFill="1" applyBorder="1" applyAlignment="1">
      <alignment horizontal="center" vertical="center" wrapText="1"/>
    </xf>
    <xf numFmtId="0" fontId="78" fillId="37" borderId="44" xfId="0" applyFont="1" applyFill="1" applyBorder="1" applyAlignment="1">
      <alignment horizontal="center" vertical="center" wrapText="1"/>
    </xf>
    <xf numFmtId="0" fontId="78" fillId="37" borderId="67" xfId="0" applyFont="1" applyFill="1" applyBorder="1" applyAlignment="1">
      <alignment horizontal="center" vertical="center" wrapText="1"/>
    </xf>
    <xf numFmtId="0" fontId="2" fillId="38" borderId="18" xfId="0" applyFont="1" applyFill="1" applyBorder="1" applyAlignment="1">
      <alignment horizontal="center"/>
    </xf>
    <xf numFmtId="0" fontId="2" fillId="38" borderId="19" xfId="0" applyFont="1" applyFill="1" applyBorder="1" applyAlignment="1">
      <alignment horizontal="center"/>
    </xf>
    <xf numFmtId="0" fontId="102" fillId="11" borderId="18" xfId="8" applyFont="1" applyFill="1" applyBorder="1" applyAlignment="1">
      <alignment horizontal="center"/>
    </xf>
    <xf numFmtId="0" fontId="102" fillId="11" borderId="20" xfId="8" applyFont="1" applyFill="1" applyBorder="1" applyAlignment="1">
      <alignment horizontal="center"/>
    </xf>
    <xf numFmtId="0" fontId="102" fillId="11" borderId="19" xfId="8" applyFont="1" applyFill="1" applyBorder="1" applyAlignment="1">
      <alignment horizontal="center"/>
    </xf>
    <xf numFmtId="0" fontId="2" fillId="38" borderId="20" xfId="0" applyFont="1" applyFill="1" applyBorder="1" applyAlignment="1">
      <alignment horizontal="center"/>
    </xf>
    <xf numFmtId="0" fontId="102" fillId="21" borderId="18" xfId="8" applyFont="1" applyFill="1" applyBorder="1" applyAlignment="1">
      <alignment horizontal="center"/>
    </xf>
    <xf numFmtId="0" fontId="102" fillId="21" borderId="20" xfId="8" applyFont="1" applyFill="1" applyBorder="1" applyAlignment="1">
      <alignment horizontal="center"/>
    </xf>
    <xf numFmtId="0" fontId="102" fillId="21" borderId="19" xfId="8" applyFont="1" applyFill="1" applyBorder="1" applyAlignment="1">
      <alignment horizontal="center"/>
    </xf>
    <xf numFmtId="0" fontId="77" fillId="39" borderId="9" xfId="0" applyFont="1" applyFill="1" applyBorder="1" applyAlignment="1">
      <alignment horizontal="center" vertical="center"/>
    </xf>
    <xf numFmtId="0" fontId="77" fillId="39" borderId="12" xfId="0" applyFont="1" applyFill="1" applyBorder="1" applyAlignment="1">
      <alignment horizontal="center" vertical="center"/>
    </xf>
    <xf numFmtId="0" fontId="92" fillId="18" borderId="68" xfId="0" applyFont="1" applyFill="1" applyBorder="1" applyAlignment="1">
      <alignment horizontal="center" vertical="center" wrapText="1"/>
    </xf>
    <xf numFmtId="0" fontId="92" fillId="18" borderId="44" xfId="0" applyFont="1" applyFill="1" applyBorder="1" applyAlignment="1">
      <alignment horizontal="center" vertical="center" wrapText="1"/>
    </xf>
    <xf numFmtId="0" fontId="78" fillId="4" borderId="29" xfId="0" applyFont="1" applyFill="1" applyBorder="1" applyAlignment="1">
      <alignment horizontal="center" vertical="center" wrapText="1"/>
    </xf>
    <xf numFmtId="0" fontId="78" fillId="4" borderId="45" xfId="0" applyFont="1" applyFill="1" applyBorder="1" applyAlignment="1">
      <alignment horizontal="center" vertical="center" wrapText="1"/>
    </xf>
    <xf numFmtId="0" fontId="77" fillId="19" borderId="73" xfId="0" applyFont="1" applyFill="1" applyBorder="1" applyAlignment="1">
      <alignment horizontal="center" vertical="center" wrapText="1"/>
    </xf>
    <xf numFmtId="0" fontId="77" fillId="19" borderId="46" xfId="0" applyFont="1" applyFill="1" applyBorder="1" applyAlignment="1">
      <alignment horizontal="center" vertical="center" wrapText="1"/>
    </xf>
    <xf numFmtId="0" fontId="77" fillId="19" borderId="75" xfId="0" applyFont="1" applyFill="1" applyBorder="1" applyAlignment="1">
      <alignment horizontal="center" vertical="center" wrapText="1"/>
    </xf>
    <xf numFmtId="0" fontId="78" fillId="34" borderId="68" xfId="0" applyFont="1" applyFill="1" applyBorder="1" applyAlignment="1">
      <alignment vertical="center" wrapText="1"/>
    </xf>
    <xf numFmtId="0" fontId="78" fillId="34" borderId="44" xfId="0" applyFont="1" applyFill="1" applyBorder="1" applyAlignment="1">
      <alignment vertical="center" wrapText="1"/>
    </xf>
    <xf numFmtId="0" fontId="78" fillId="34" borderId="45" xfId="0" applyFont="1" applyFill="1" applyBorder="1" applyAlignment="1">
      <alignment vertical="center" wrapText="1"/>
    </xf>
    <xf numFmtId="0" fontId="78" fillId="34" borderId="29" xfId="0" applyFont="1" applyFill="1" applyBorder="1" applyAlignment="1">
      <alignment horizontal="center" vertical="center" wrapText="1"/>
    </xf>
    <xf numFmtId="0" fontId="78" fillId="34" borderId="44" xfId="0" applyFont="1" applyFill="1" applyBorder="1" applyAlignment="1">
      <alignment horizontal="center" vertical="center" wrapText="1"/>
    </xf>
    <xf numFmtId="0" fontId="78" fillId="34" borderId="45" xfId="0" applyFont="1" applyFill="1" applyBorder="1" applyAlignment="1">
      <alignment horizontal="center" vertical="center" wrapText="1"/>
    </xf>
    <xf numFmtId="0" fontId="78" fillId="39" borderId="73" xfId="0" applyFont="1" applyFill="1" applyBorder="1" applyAlignment="1">
      <alignment horizontal="center" vertical="center"/>
    </xf>
    <xf numFmtId="0" fontId="78" fillId="39" borderId="46" xfId="0" applyFont="1" applyFill="1" applyBorder="1" applyAlignment="1">
      <alignment horizontal="center" vertical="center"/>
    </xf>
    <xf numFmtId="0" fontId="78" fillId="39" borderId="75" xfId="0" applyFont="1" applyFill="1" applyBorder="1" applyAlignment="1">
      <alignment horizontal="center" vertical="center"/>
    </xf>
    <xf numFmtId="0" fontId="77" fillId="42" borderId="73" xfId="0" applyFont="1" applyFill="1" applyBorder="1" applyAlignment="1">
      <alignment horizontal="center" vertical="center" wrapText="1"/>
    </xf>
    <xf numFmtId="0" fontId="77" fillId="42" borderId="75" xfId="0" applyFont="1" applyFill="1" applyBorder="1" applyAlignment="1">
      <alignment horizontal="center" vertical="center" wrapText="1"/>
    </xf>
    <xf numFmtId="0" fontId="92" fillId="37" borderId="68" xfId="0" applyFont="1" applyFill="1" applyBorder="1" applyAlignment="1">
      <alignment horizontal="center" vertical="center" wrapText="1"/>
    </xf>
    <xf numFmtId="0" fontId="92" fillId="37" borderId="67" xfId="0" applyFont="1" applyFill="1" applyBorder="1" applyAlignment="1">
      <alignment horizontal="center" vertical="center" wrapText="1"/>
    </xf>
    <xf numFmtId="0" fontId="78" fillId="34" borderId="68" xfId="0" applyFont="1" applyFill="1" applyBorder="1" applyAlignment="1">
      <alignment horizontal="center" vertical="center" wrapText="1"/>
    </xf>
    <xf numFmtId="0" fontId="78" fillId="34" borderId="67" xfId="0" applyFont="1" applyFill="1" applyBorder="1" applyAlignment="1">
      <alignment horizontal="center" vertical="center" wrapText="1"/>
    </xf>
    <xf numFmtId="0" fontId="77" fillId="39" borderId="73" xfId="0" applyFont="1" applyFill="1" applyBorder="1" applyAlignment="1">
      <alignment horizontal="center" vertical="center"/>
    </xf>
    <xf numFmtId="0" fontId="77" fillId="39" borderId="75" xfId="0" applyFont="1" applyFill="1" applyBorder="1" applyAlignment="1">
      <alignment horizontal="center" vertical="center"/>
    </xf>
    <xf numFmtId="0" fontId="78" fillId="4" borderId="68" xfId="0" applyFont="1" applyFill="1" applyBorder="1" applyAlignment="1">
      <alignment horizontal="center" vertical="center"/>
    </xf>
    <xf numFmtId="0" fontId="78" fillId="4" borderId="44" xfId="0" applyFont="1" applyFill="1" applyBorder="1" applyAlignment="1">
      <alignment horizontal="center" vertical="center"/>
    </xf>
    <xf numFmtId="0" fontId="2" fillId="0" borderId="18" xfId="0" applyFont="1" applyBorder="1" applyAlignment="1">
      <alignment horizontal="center"/>
    </xf>
    <xf numFmtId="0" fontId="2" fillId="11" borderId="18" xfId="0" applyFont="1" applyFill="1" applyBorder="1" applyAlignment="1">
      <alignment horizontal="center"/>
    </xf>
    <xf numFmtId="0" fontId="0" fillId="0" borderId="0" xfId="0" applyAlignment="1">
      <alignment horizontal="center" wrapText="1"/>
    </xf>
    <xf numFmtId="0" fontId="16" fillId="0" borderId="9" xfId="0" applyFont="1" applyBorder="1" applyAlignment="1">
      <alignment horizontal="center"/>
    </xf>
    <xf numFmtId="0" fontId="2" fillId="0" borderId="9" xfId="0" applyFont="1" applyBorder="1" applyAlignment="1">
      <alignment horizontal="center"/>
    </xf>
    <xf numFmtId="0" fontId="68" fillId="0" borderId="18" xfId="0" applyFont="1" applyBorder="1" applyAlignment="1">
      <alignment horizontal="center"/>
    </xf>
    <xf numFmtId="0" fontId="68" fillId="0" borderId="20" xfId="0" applyFont="1" applyBorder="1" applyAlignment="1">
      <alignment horizontal="center"/>
    </xf>
    <xf numFmtId="0" fontId="68" fillId="0" borderId="19" xfId="0" applyFont="1" applyBorder="1" applyAlignment="1">
      <alignment horizontal="center"/>
    </xf>
    <xf numFmtId="0" fontId="2" fillId="11" borderId="14" xfId="0" applyFont="1" applyFill="1" applyBorder="1" applyAlignment="1">
      <alignment horizontal="center"/>
    </xf>
    <xf numFmtId="0" fontId="2" fillId="0" borderId="10" xfId="0" applyFont="1" applyBorder="1" applyAlignment="1">
      <alignment horizontal="center"/>
    </xf>
    <xf numFmtId="0" fontId="2" fillId="0" borderId="20" xfId="0" applyFont="1" applyBorder="1" applyAlignment="1">
      <alignment horizontal="center"/>
    </xf>
    <xf numFmtId="0" fontId="2" fillId="0" borderId="19" xfId="0" applyFont="1" applyBorder="1" applyAlignment="1">
      <alignment horizontal="center"/>
    </xf>
    <xf numFmtId="0" fontId="39" fillId="0" borderId="0" xfId="0" applyFont="1" applyAlignment="1">
      <alignment horizontal="center" vertical="center" wrapText="1"/>
    </xf>
    <xf numFmtId="0" fontId="41" fillId="0" borderId="12" xfId="0" applyFont="1" applyBorder="1" applyAlignment="1">
      <alignment horizontal="center"/>
    </xf>
    <xf numFmtId="0" fontId="41" fillId="0" borderId="14" xfId="0" applyFont="1" applyBorder="1" applyAlignment="1">
      <alignment horizontal="center"/>
    </xf>
    <xf numFmtId="0" fontId="41" fillId="0" borderId="13" xfId="0" applyFont="1" applyBorder="1" applyAlignment="1">
      <alignment horizontal="center" wrapText="1"/>
    </xf>
    <xf numFmtId="0" fontId="41" fillId="0" borderId="16" xfId="0" applyFont="1" applyBorder="1" applyAlignment="1">
      <alignment horizontal="center" wrapText="1"/>
    </xf>
    <xf numFmtId="0" fontId="41" fillId="0" borderId="11" xfId="0" applyFont="1" applyBorder="1" applyAlignment="1">
      <alignment horizontal="center" wrapText="1"/>
    </xf>
    <xf numFmtId="0" fontId="40" fillId="0" borderId="97" xfId="0" applyFont="1" applyBorder="1" applyAlignment="1">
      <alignment horizontal="center"/>
    </xf>
    <xf numFmtId="0" fontId="40" fillId="0" borderId="103" xfId="0" applyFont="1" applyBorder="1" applyAlignment="1">
      <alignment horizontal="center"/>
    </xf>
    <xf numFmtId="0" fontId="40" fillId="0" borderId="98" xfId="0" applyFont="1" applyBorder="1" applyAlignment="1">
      <alignment horizontal="center"/>
    </xf>
    <xf numFmtId="0" fontId="40" fillId="0" borderId="10" xfId="0" applyFont="1" applyBorder="1" applyAlignment="1">
      <alignment horizontal="center"/>
    </xf>
    <xf numFmtId="0" fontId="40" fillId="0" borderId="105" xfId="0" applyFont="1" applyBorder="1" applyAlignment="1">
      <alignment horizontal="center"/>
    </xf>
    <xf numFmtId="0" fontId="40" fillId="0" borderId="10" xfId="0" applyFont="1" applyBorder="1" applyAlignment="1">
      <alignment horizontal="center" wrapText="1"/>
    </xf>
    <xf numFmtId="0" fontId="40" fillId="0" borderId="105" xfId="0" applyFont="1" applyBorder="1" applyAlignment="1">
      <alignment horizontal="center" wrapText="1"/>
    </xf>
    <xf numFmtId="0" fontId="41" fillId="0" borderId="12" xfId="0" applyFont="1" applyBorder="1" applyAlignment="1">
      <alignment horizontal="center" wrapText="1"/>
    </xf>
    <xf numFmtId="0" fontId="40" fillId="0" borderId="0" xfId="0" applyFont="1" applyAlignment="1">
      <alignment horizontal="center"/>
    </xf>
    <xf numFmtId="0" fontId="39" fillId="0" borderId="0" xfId="0" applyFont="1" applyAlignment="1">
      <alignment horizontal="center" vertical="center"/>
    </xf>
    <xf numFmtId="0" fontId="30" fillId="0" borderId="0" xfId="0" applyFont="1" applyAlignment="1">
      <alignment horizontal="center" vertical="center"/>
    </xf>
    <xf numFmtId="0" fontId="62" fillId="0" borderId="0" xfId="0" applyFont="1" applyAlignment="1">
      <alignment horizontal="center"/>
    </xf>
    <xf numFmtId="0" fontId="62" fillId="0" borderId="0" xfId="0" applyFont="1" applyAlignment="1">
      <alignment horizontal="center" wrapText="1"/>
    </xf>
    <xf numFmtId="0" fontId="0" fillId="0" borderId="12" xfId="0"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4" xfId="0" applyBorder="1" applyAlignment="1">
      <alignment horizontal="center" vertical="center"/>
    </xf>
    <xf numFmtId="0" fontId="2" fillId="0" borderId="11" xfId="0" applyFont="1" applyBorder="1" applyAlignment="1">
      <alignment horizontal="center"/>
    </xf>
    <xf numFmtId="0" fontId="0" fillId="0" borderId="0" xfId="0"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6" fillId="0" borderId="10" xfId="0" applyFont="1" applyBorder="1" applyAlignment="1">
      <alignment horizontal="center"/>
    </xf>
    <xf numFmtId="0" fontId="16" fillId="0" borderId="11" xfId="0" applyFont="1" applyBorder="1" applyAlignment="1">
      <alignment horizontal="center"/>
    </xf>
    <xf numFmtId="0" fontId="2" fillId="0" borderId="0" xfId="0" applyFont="1" applyAlignment="1">
      <alignment horizontal="center"/>
    </xf>
    <xf numFmtId="0" fontId="0" fillId="0" borderId="18"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2" fillId="0" borderId="0" xfId="0" applyFont="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8" xfId="0" applyFont="1" applyBorder="1" applyAlignment="1">
      <alignment horizontal="center" wrapText="1"/>
    </xf>
    <xf numFmtId="0" fontId="2" fillId="0" borderId="20" xfId="0" applyFont="1" applyBorder="1" applyAlignment="1">
      <alignment horizontal="center" wrapText="1"/>
    </xf>
    <xf numFmtId="0" fontId="2" fillId="0" borderId="19" xfId="0" applyFont="1" applyBorder="1" applyAlignment="1">
      <alignment horizontal="center" wrapText="1"/>
    </xf>
    <xf numFmtId="0" fontId="2" fillId="44" borderId="0" xfId="0" applyFont="1" applyFill="1" applyAlignment="1">
      <alignment horizontal="center"/>
    </xf>
    <xf numFmtId="0" fontId="16" fillId="44" borderId="0" xfId="0" applyFont="1" applyFill="1" applyAlignment="1">
      <alignment horizontal="center"/>
    </xf>
    <xf numFmtId="0" fontId="2" fillId="6" borderId="18" xfId="0" applyFont="1" applyFill="1" applyBorder="1" applyAlignment="1">
      <alignment horizontal="center"/>
    </xf>
    <xf numFmtId="0" fontId="2" fillId="6" borderId="19" xfId="0" applyFont="1" applyFill="1" applyBorder="1" applyAlignment="1">
      <alignment horizontal="center"/>
    </xf>
    <xf numFmtId="0" fontId="3" fillId="0" borderId="18" xfId="11" applyFill="1" applyBorder="1" applyAlignment="1">
      <alignment horizontal="center"/>
    </xf>
    <xf numFmtId="0" fontId="3" fillId="0" borderId="19" xfId="11" applyFill="1" applyBorder="1" applyAlignment="1">
      <alignment horizontal="center"/>
    </xf>
    <xf numFmtId="0" fontId="3" fillId="2" borderId="18" xfId="11" applyFill="1" applyBorder="1" applyAlignment="1">
      <alignment horizontal="center"/>
    </xf>
    <xf numFmtId="0" fontId="3" fillId="2" borderId="20" xfId="11" applyFill="1" applyBorder="1" applyAlignment="1">
      <alignment horizontal="center"/>
    </xf>
    <xf numFmtId="0" fontId="3" fillId="2" borderId="19" xfId="11" applyFill="1" applyBorder="1" applyAlignment="1">
      <alignment horizontal="center"/>
    </xf>
    <xf numFmtId="0" fontId="0" fillId="6" borderId="20" xfId="0" applyFill="1" applyBorder="1" applyAlignment="1">
      <alignment horizontal="center"/>
    </xf>
    <xf numFmtId="0" fontId="0" fillId="6" borderId="19" xfId="0" applyFill="1" applyBorder="1" applyAlignment="1">
      <alignment horizontal="center"/>
    </xf>
    <xf numFmtId="0" fontId="0" fillId="6" borderId="0" xfId="0" applyFill="1"/>
    <xf numFmtId="0" fontId="3" fillId="0" borderId="20" xfId="11" applyFill="1" applyBorder="1" applyAlignment="1">
      <alignment horizontal="center"/>
    </xf>
    <xf numFmtId="0" fontId="3" fillId="6" borderId="18" xfId="11" applyFill="1" applyBorder="1" applyAlignment="1">
      <alignment horizontal="center"/>
    </xf>
    <xf numFmtId="0" fontId="3" fillId="6" borderId="20" xfId="11" applyFill="1" applyBorder="1" applyAlignment="1">
      <alignment horizontal="center"/>
    </xf>
    <xf numFmtId="0" fontId="3" fillId="6" borderId="19" xfId="11" applyFill="1" applyBorder="1" applyAlignment="1">
      <alignment horizontal="center"/>
    </xf>
    <xf numFmtId="0" fontId="0" fillId="6" borderId="0" xfId="0" applyFill="1" applyAlignment="1">
      <alignment horizontal="center" wrapText="1"/>
    </xf>
    <xf numFmtId="0" fontId="0" fillId="0" borderId="0" xfId="0"/>
    <xf numFmtId="0" fontId="3" fillId="5" borderId="18" xfId="11" applyFill="1" applyBorder="1" applyAlignment="1">
      <alignment horizontal="center"/>
    </xf>
    <xf numFmtId="0" fontId="3" fillId="5" borderId="19" xfId="11" applyFill="1" applyBorder="1" applyAlignment="1">
      <alignment horizontal="center"/>
    </xf>
    <xf numFmtId="0" fontId="2" fillId="39" borderId="18" xfId="0" applyFont="1" applyFill="1" applyBorder="1" applyAlignment="1">
      <alignment horizontal="center"/>
    </xf>
    <xf numFmtId="0" fontId="2" fillId="39" borderId="20" xfId="0" applyFont="1" applyFill="1" applyBorder="1" applyAlignment="1">
      <alignment horizontal="center"/>
    </xf>
    <xf numFmtId="0" fontId="2" fillId="39" borderId="19" xfId="0" applyFont="1" applyFill="1" applyBorder="1" applyAlignment="1">
      <alignment horizontal="center"/>
    </xf>
    <xf numFmtId="0" fontId="0" fillId="6" borderId="18" xfId="0" applyFill="1" applyBorder="1" applyAlignment="1">
      <alignment horizontal="center"/>
    </xf>
    <xf numFmtId="0" fontId="3" fillId="5" borderId="20" xfId="11" applyFill="1" applyBorder="1" applyAlignment="1">
      <alignment horizontal="center"/>
    </xf>
    <xf numFmtId="0" fontId="2" fillId="6" borderId="9" xfId="0" applyFont="1" applyFill="1" applyBorder="1" applyAlignment="1">
      <alignment horizontal="center" wrapText="1"/>
    </xf>
    <xf numFmtId="0" fontId="2" fillId="6" borderId="10" xfId="0" applyFont="1" applyFill="1" applyBorder="1" applyAlignment="1">
      <alignment horizontal="center" wrapText="1"/>
    </xf>
    <xf numFmtId="0" fontId="2" fillId="6" borderId="11" xfId="0" applyFont="1" applyFill="1" applyBorder="1" applyAlignment="1">
      <alignment horizontal="center" wrapText="1"/>
    </xf>
    <xf numFmtId="0" fontId="2" fillId="6" borderId="14" xfId="0" applyFont="1" applyFill="1" applyBorder="1" applyAlignment="1">
      <alignment horizontal="center" wrapText="1"/>
    </xf>
    <xf numFmtId="0" fontId="2" fillId="6" borderId="15" xfId="0" applyFont="1" applyFill="1" applyBorder="1" applyAlignment="1">
      <alignment horizontal="center" wrapText="1"/>
    </xf>
    <xf numFmtId="0" fontId="2" fillId="6" borderId="16" xfId="0" applyFont="1" applyFill="1" applyBorder="1" applyAlignment="1">
      <alignment horizontal="center" wrapText="1"/>
    </xf>
    <xf numFmtId="0" fontId="79" fillId="39" borderId="0" xfId="0" applyFont="1" applyFill="1" applyAlignment="1">
      <alignment horizontal="center"/>
    </xf>
    <xf numFmtId="0" fontId="0" fillId="0" borderId="11" xfId="0" applyBorder="1" applyAlignment="1">
      <alignment horizontal="center" wrapText="1"/>
    </xf>
    <xf numFmtId="0" fontId="68" fillId="39" borderId="18" xfId="0" applyFont="1" applyFill="1" applyBorder="1" applyAlignment="1">
      <alignment horizontal="center"/>
    </xf>
    <xf numFmtId="0" fontId="68" fillId="39" borderId="20" xfId="0" applyFont="1" applyFill="1" applyBorder="1" applyAlignment="1">
      <alignment horizontal="center"/>
    </xf>
    <xf numFmtId="0" fontId="68" fillId="39" borderId="19" xfId="0" applyFont="1" applyFill="1" applyBorder="1" applyAlignment="1">
      <alignment horizontal="center"/>
    </xf>
    <xf numFmtId="0" fontId="16" fillId="0" borderId="0" xfId="0" applyFont="1" applyAlignment="1">
      <alignment horizontal="center"/>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cellXfs>
  <cellStyles count="141">
    <cellStyle name="20% - Accent1 2" xfId="16" xr:uid="{81C8BFD4-FA75-466A-AD13-5B1519C93CA9}"/>
    <cellStyle name="20% - Accent2 2" xfId="20" xr:uid="{AEBB562E-6D49-468E-BE06-EACA169AA7CB}"/>
    <cellStyle name="20% - Accent3 2" xfId="24" xr:uid="{F027FED6-DB85-407F-827A-E141A5DF9917}"/>
    <cellStyle name="20% - Accent4 2" xfId="28" xr:uid="{2A567B51-4FEA-44B3-9890-5FADD5323662}"/>
    <cellStyle name="20% - Accent5 2" xfId="32" xr:uid="{650099C8-0D37-4AE8-B12B-4B9687D5F64E}"/>
    <cellStyle name="20% - Accent6 2" xfId="36" xr:uid="{061E10B9-2026-401F-BD74-3313828CBE1C}"/>
    <cellStyle name="40% - Accent1 2" xfId="17" xr:uid="{9B8DD86F-FD05-466E-9654-9069E4BA9EE2}"/>
    <cellStyle name="40% - Accent2 2" xfId="21" xr:uid="{8780D46C-5BF6-466E-BBA0-10A1ED6414A8}"/>
    <cellStyle name="40% - Accent3 2" xfId="25" xr:uid="{4FE447E6-5AFA-41EF-813C-39204ED23514}"/>
    <cellStyle name="40% - Accent4 2" xfId="29" xr:uid="{9AAAF2C1-BF8A-4B1C-9070-C8EFFDA03CAB}"/>
    <cellStyle name="40% - Accent5 2" xfId="33" xr:uid="{2FC63F4D-DA7C-47C3-AFFA-86476D94799F}"/>
    <cellStyle name="40% - Accent6 2" xfId="37" xr:uid="{5250F9F3-8683-44D7-B13B-CC928F6A05A4}"/>
    <cellStyle name="60% - Accent1 2" xfId="18" xr:uid="{DCBC7489-D0D9-4768-80E0-493561BF5059}"/>
    <cellStyle name="60% - Accent2 2" xfId="22" xr:uid="{3D9302B8-5872-4AA8-9FF8-0F1429B51A65}"/>
    <cellStyle name="60% - Accent3 2" xfId="26" xr:uid="{63DF9282-56FF-4954-9F9C-383A800F76DB}"/>
    <cellStyle name="60% - Accent4 2" xfId="30" xr:uid="{452D4EC4-26F3-4812-A935-BF1B2B06087E}"/>
    <cellStyle name="60% - Accent5 2" xfId="34" xr:uid="{506CD324-2EBD-44EE-97BF-6F69804FACA2}"/>
    <cellStyle name="60% - Accent6 2" xfId="38" xr:uid="{C583BCE5-5923-4A8D-B00C-FFD5E8E2964B}"/>
    <cellStyle name="Accent1 2" xfId="15" xr:uid="{0A19E3B4-6F30-4D92-9C76-9C3EB640AB5A}"/>
    <cellStyle name="Accent2 2" xfId="19" xr:uid="{1FCD52EC-CD2C-4B70-BF59-ED8F6B0C360F}"/>
    <cellStyle name="Accent3 2" xfId="23" xr:uid="{C05055B6-0DDF-4E1D-9D10-494D764B0317}"/>
    <cellStyle name="Accent4 2" xfId="27" xr:uid="{BF79B3B8-E323-455C-9560-23D1B93BE730}"/>
    <cellStyle name="Accent5 2" xfId="31" xr:uid="{158B97B8-B840-4745-BA9F-3FE884C8EBB1}"/>
    <cellStyle name="Accent6 2" xfId="35" xr:uid="{3C4F3388-E315-43C8-BA4F-40D24236EA13}"/>
    <cellStyle name="Bad 2" xfId="13" xr:uid="{05EE0808-3522-41FF-BF9A-662BAEBFBAF9}"/>
    <cellStyle name="Calculation" xfId="4" builtinId="22"/>
    <cellStyle name="Calculation 2" xfId="44" xr:uid="{172EB940-44B8-48FC-8F2C-8EA3023D9D37}"/>
    <cellStyle name="Calculation 3" xfId="43" xr:uid="{C2DF88F0-251E-47E4-9547-CCF00CAB129A}"/>
    <cellStyle name="Check Cell 2" xfId="14" xr:uid="{78515347-675E-438F-B79C-6E9E54E429A0}"/>
    <cellStyle name="Comma 2" xfId="45" xr:uid="{45BF0422-52A0-4C76-92CB-824EFDAE0789}"/>
    <cellStyle name="Comma 2 2" xfId="138" xr:uid="{4DCBE77D-7459-4FED-827B-F246F1CAD73B}"/>
    <cellStyle name="Comma 3" xfId="40" xr:uid="{28E8FE2B-5ED1-49A4-9DCE-14D5127F1C82}"/>
    <cellStyle name="Comma 3 2" xfId="137" xr:uid="{27113022-A974-42B0-AB14-D6F791B02FA3}"/>
    <cellStyle name="Comma 4" xfId="57" xr:uid="{3E219693-AB32-4024-B8F6-5F07B5BDF71E}"/>
    <cellStyle name="Comma 4 2" xfId="139" xr:uid="{EA38FC62-1D46-43FB-8B1D-7BE9A0D24A29}"/>
    <cellStyle name="Even" xfId="136" xr:uid="{43D4786B-204A-4DFB-A0E2-B3A90A61C140}"/>
    <cellStyle name="Explanatory Text 2" xfId="46" xr:uid="{55DEA372-172B-449B-B01C-8C60BDA6CEB9}"/>
    <cellStyle name="Followed Hyperlink 2" xfId="47" xr:uid="{D5629195-2819-45ED-8C88-5FA310C6E53E}"/>
    <cellStyle name="Good" xfId="2" builtinId="26" customBuiltin="1"/>
    <cellStyle name="Grey" xfId="58" xr:uid="{431B33E7-CE00-4A6A-8D6D-3FD8B415731E}"/>
    <cellStyle name="Heading 1" xfId="8" builtinId="16"/>
    <cellStyle name="Heading 1 2" xfId="132" xr:uid="{91A0DF19-C9F4-465A-915C-A34EA0E4B549}"/>
    <cellStyle name="Heading 2 2" xfId="133" xr:uid="{0B3AC2F2-D414-404A-B136-79CA88A6DCE9}"/>
    <cellStyle name="Hyperlink" xfId="1" builtinId="8"/>
    <cellStyle name="Hyperlink 2" xfId="11" xr:uid="{313A1579-F480-461D-A9F6-6F13B8C7C148}"/>
    <cellStyle name="Hyperlink 2 2" xfId="41" xr:uid="{6171D201-434E-4967-ABC2-C01ECC0A360D}"/>
    <cellStyle name="Hyperlink 3" xfId="48" xr:uid="{0F1F248C-D60E-42ED-A5B4-C0150AEB4185}"/>
    <cellStyle name="Input" xfId="9" builtinId="20"/>
    <cellStyle name="Input [yellow]" xfId="59" xr:uid="{085411A8-331B-4ADB-AE2E-DE1FC611BE31}"/>
    <cellStyle name="Input 10" xfId="74" xr:uid="{A34B19AF-DEBD-4B3A-A571-F82C9F41EBE4}"/>
    <cellStyle name="Input 11" xfId="83" xr:uid="{7B4C9B00-945D-4D17-ACB1-854B217C9254}"/>
    <cellStyle name="Input 12" xfId="85" xr:uid="{7E39E500-7F20-4349-A417-108BE8B10C57}"/>
    <cellStyle name="Input 13" xfId="82" xr:uid="{2DBE58E3-F81C-4E5C-8691-90418AA372EB}"/>
    <cellStyle name="Input 14" xfId="87" xr:uid="{6DEAC949-D736-4429-8028-43347F10A9C3}"/>
    <cellStyle name="Input 15" xfId="97" xr:uid="{8E121274-4D66-4CBD-B57E-6B3942640329}"/>
    <cellStyle name="Input 16" xfId="77" xr:uid="{24B023CE-910C-4EE4-A5FB-07C771D172F0}"/>
    <cellStyle name="Input 17" xfId="93" xr:uid="{504E53A3-8228-44C0-A6A1-A9FA6BB2A198}"/>
    <cellStyle name="Input 18" xfId="76" xr:uid="{BFE0C8F3-9EBD-451E-9DA7-CED0E5D35EF2}"/>
    <cellStyle name="Input 19" xfId="98" xr:uid="{8184EFB2-E7D2-47EB-89EC-4D062B60F46E}"/>
    <cellStyle name="Input 2" xfId="49" xr:uid="{3D71BF55-352F-49E8-B8C7-53C4EF3874AB}"/>
    <cellStyle name="Input 20" xfId="86" xr:uid="{8FDA7CB4-F3BF-48EE-85C9-77C291D2066C}"/>
    <cellStyle name="Input 21" xfId="101" xr:uid="{44D816AB-97A7-49AE-BB8C-36DF5897DC86}"/>
    <cellStyle name="Input 22" xfId="90" xr:uid="{15350BDF-495C-455E-8CAA-289A8BEACC7C}"/>
    <cellStyle name="Input 23" xfId="106" xr:uid="{7367FA04-3B5E-4C99-A9E5-436FE2279DCB}"/>
    <cellStyle name="Input 24" xfId="91" xr:uid="{BAD96EAF-3D57-43D2-8D0A-CF1841B01C48}"/>
    <cellStyle name="Input 25" xfId="107" xr:uid="{E86AA6B7-EE78-4D84-AF1F-293728848542}"/>
    <cellStyle name="Input 26" xfId="95" xr:uid="{7A76C723-910E-41FB-94C2-4E6B9F90F415}"/>
    <cellStyle name="Input 27" xfId="108" xr:uid="{189A7376-5A1C-44BC-875D-3A780C2723D4}"/>
    <cellStyle name="Input 28" xfId="111" xr:uid="{9A695CDD-5110-41EB-AC23-0CED4C76F94B}"/>
    <cellStyle name="Input 29" xfId="109" xr:uid="{FAC88B78-067A-463C-806A-B291F9A09B0D}"/>
    <cellStyle name="Input 3" xfId="81" xr:uid="{E55A72D1-D85E-48F6-A36D-784F5516987F}"/>
    <cellStyle name="Input 30" xfId="112" xr:uid="{49B582C1-AB2B-4D64-AE80-E78E36A39CFE}"/>
    <cellStyle name="Input 31" xfId="129" xr:uid="{C2E0127C-6E03-4DE8-9AC9-402B54A4F302}"/>
    <cellStyle name="Input 32" xfId="134" xr:uid="{B681A6C4-B538-48B5-83B8-0BF602C7A47E}"/>
    <cellStyle name="Input 4" xfId="75" xr:uid="{F35A4B34-0A79-45CD-B410-36E7BA39A825}"/>
    <cellStyle name="Input 5" xfId="79" xr:uid="{AB4F82B7-A589-480A-8D4C-0840CED172B5}"/>
    <cellStyle name="Input 6" xfId="73" xr:uid="{3B4F0F76-AB30-48C7-9BFA-B54A491A40E8}"/>
    <cellStyle name="Input 7" xfId="78" xr:uid="{E4943B74-59D5-4CA3-9DA9-6105081FBAF2}"/>
    <cellStyle name="Input 8" xfId="72" xr:uid="{5C52A14F-F2E9-4A3C-9C1F-6022D8DE03F7}"/>
    <cellStyle name="Input 9" xfId="80" xr:uid="{26E508A0-862D-44B0-9AAA-42B6AD045CFD}"/>
    <cellStyle name="Input data" xfId="50" xr:uid="{B4FE8777-1F7C-4E92-99D7-148F8BA5B4B3}"/>
    <cellStyle name="Linked Cell 2" xfId="51" xr:uid="{6AECACC9-9F20-462E-961C-7CAC898E6E61}"/>
    <cellStyle name="Mudeli alamleht" xfId="135" xr:uid="{6D2F86EE-EEA0-4EA1-A6F9-91D6852B7F04}"/>
    <cellStyle name="Neutral" xfId="3" builtinId="28" customBuiltin="1"/>
    <cellStyle name="Normaali 2" xfId="140" xr:uid="{115F1F52-B2E5-4568-AC84-3BF60151107E}"/>
    <cellStyle name="Normal" xfId="0" builtinId="0"/>
    <cellStyle name="Normal - Style1" xfId="60" xr:uid="{EBB70B8B-D8FA-48BF-B7AB-7B75043B75E2}"/>
    <cellStyle name="Normal 10" xfId="89" xr:uid="{9F967E3C-D08B-47B6-B129-47EDB3931B47}"/>
    <cellStyle name="Normal 11" xfId="92" xr:uid="{D4905507-338F-4CCC-9625-19BA3F25507C}"/>
    <cellStyle name="Normal 12" xfId="94" xr:uid="{AAE328D0-7484-4908-8472-9042F9478C92}"/>
    <cellStyle name="Normal 13" xfId="96" xr:uid="{9EB9707D-5F1B-49A2-9235-082B44FE5F05}"/>
    <cellStyle name="Normal 14" xfId="99" xr:uid="{1814AFC7-7C10-4EC5-AB7D-3BB83797B2A8}"/>
    <cellStyle name="Normal 15" xfId="100" xr:uid="{D4A9576F-6194-4341-AA5E-C97B5A31BA80}"/>
    <cellStyle name="Normal 16" xfId="102" xr:uid="{7FCC7145-1263-4FAE-A34B-320A1A0F5F93}"/>
    <cellStyle name="Normal 17" xfId="104" xr:uid="{D12F37B9-EE41-4B84-8942-F6613E37A4D6}"/>
    <cellStyle name="Normal 18" xfId="105" xr:uid="{FBDA4577-ED97-4947-9665-10B4565A7991}"/>
    <cellStyle name="Normal 19" xfId="103" xr:uid="{6091B0BD-03F1-4D21-AF07-D1DFB501254D}"/>
    <cellStyle name="Normal 2" xfId="10" xr:uid="{90516A13-01AA-44C7-B642-4570EB667B4F}"/>
    <cellStyle name="Normal 2 2" xfId="42" xr:uid="{933E5C2B-83B6-4075-A861-D18A3E30051D}"/>
    <cellStyle name="Normal 20" xfId="110" xr:uid="{5822B194-880D-40FE-8FEB-7031F8FDABBF}"/>
    <cellStyle name="Normal 21" xfId="113" xr:uid="{5939AC84-1910-4248-A728-92D9F2EE57F3}"/>
    <cellStyle name="Normal 22" xfId="114" xr:uid="{3131F826-C1B3-46A6-9DB2-499012A3A555}"/>
    <cellStyle name="Normal 23" xfId="115" xr:uid="{4A7D0DCC-7840-47BA-8B4B-A354829F3C84}"/>
    <cellStyle name="Normal 24" xfId="116" xr:uid="{ABA70D0F-1C9E-4B21-BBED-1D107CE4B91D}"/>
    <cellStyle name="Normal 25" xfId="117" xr:uid="{82E133B3-D209-4A47-83EA-4734DE13B160}"/>
    <cellStyle name="Normal 26" xfId="118" xr:uid="{5986BAF5-1556-4E93-97D0-C7690E2FBD47}"/>
    <cellStyle name="Normal 27" xfId="119" xr:uid="{8BBD617D-D787-4B8A-A58B-73971AE07510}"/>
    <cellStyle name="Normal 28" xfId="120" xr:uid="{95DD65CE-CD26-4DA7-A5F9-CB285BEC661B}"/>
    <cellStyle name="Normal 29" xfId="121" xr:uid="{542331B1-A383-4188-9812-F302179D6D9B}"/>
    <cellStyle name="Normal 3" xfId="56" xr:uid="{D7169290-0E1A-472A-9EC2-B1DAA0F102FB}"/>
    <cellStyle name="Normal 30" xfId="122" xr:uid="{28ADD740-F5C6-4048-A7B6-F9AE9D050092}"/>
    <cellStyle name="Normal 31" xfId="123" xr:uid="{2559536F-B8D4-4531-AFA3-C56996647E46}"/>
    <cellStyle name="Normal 32" xfId="124" xr:uid="{601DC169-1CD6-43EA-9A9A-E82687F665F4}"/>
    <cellStyle name="Normal 33" xfId="125" xr:uid="{7D24F1E6-FAE8-4A0A-B398-3FC086339C32}"/>
    <cellStyle name="Normal 34" xfId="126" xr:uid="{F4D64913-54B2-4423-A1E1-07E34938EF40}"/>
    <cellStyle name="Normal 35" xfId="128" xr:uid="{46D03342-4CA4-42FC-BEF3-BE5399665AB4}"/>
    <cellStyle name="Normal 36" xfId="130" xr:uid="{A3A48E5F-6AE9-4D5B-AF9F-A39F675FA057}"/>
    <cellStyle name="Normal 4" xfId="39" xr:uid="{2B79C626-01D7-4B9C-8491-43594802EA30}"/>
    <cellStyle name="Normal 5" xfId="67" xr:uid="{AF514C30-AFF7-49A5-9A93-37199598475B}"/>
    <cellStyle name="Normal 6" xfId="69" xr:uid="{E96D875D-2847-49C2-BFCE-678DF86F2797}"/>
    <cellStyle name="Normal 7" xfId="71" xr:uid="{96FC4B45-D433-4C04-9D42-B6EE6A40131F}"/>
    <cellStyle name="Normal 8" xfId="84" xr:uid="{5B04A12C-8E42-4B49-A5A5-E8846F572347}"/>
    <cellStyle name="Normal 9" xfId="88" xr:uid="{9F3005B1-9517-4F4B-86AA-8953D5821E7B}"/>
    <cellStyle name="Note 2" xfId="52" xr:uid="{20FE9D13-8688-4BF2-A9DD-F59A896D4253}"/>
    <cellStyle name="Odd" xfId="6" xr:uid="{3D38865D-4B2B-4AD4-A500-484B2653797B}"/>
    <cellStyle name="Output 2" xfId="53" xr:uid="{54C8022C-1F9B-45EF-8848-D10B9283B0EE}"/>
    <cellStyle name="Percent" xfId="5" builtinId="5"/>
    <cellStyle name="Percent [2]" xfId="62" xr:uid="{D2D43604-E383-4A42-B5E0-DA4CBCDCBB7E}"/>
    <cellStyle name="Percent 2" xfId="12" xr:uid="{A3EBF655-DC9D-4B37-AC08-62ED4052FC48}"/>
    <cellStyle name="Percent 2 2" xfId="61" xr:uid="{C44BBC43-6DBA-4F18-9E6B-7668DEE1B2C5}"/>
    <cellStyle name="Percent 3" xfId="68" xr:uid="{1C203601-85A7-4EA7-81DA-7CD3C6F61316}"/>
    <cellStyle name="Percent 4" xfId="70" xr:uid="{1AB0B422-AC46-44A4-9A37-6469A20536EB}"/>
    <cellStyle name="Percent 5" xfId="131" xr:uid="{8D509ADF-DB9F-4FE3-914E-6550C24474C3}"/>
    <cellStyle name="Selection" xfId="54" xr:uid="{EA27C725-6F0F-49A1-9F72-3091110971FA}"/>
    <cellStyle name="Title" xfId="7" builtinId="15" customBuiltin="1"/>
    <cellStyle name="Tusental (0)_pldt" xfId="63" xr:uid="{44B8A388-31EC-4D35-9CB2-58FB12C75235}"/>
    <cellStyle name="Tusental_pldt" xfId="64" xr:uid="{3B066A1B-7C40-4D4D-9A77-813A015E836B}"/>
    <cellStyle name="Valuta (0)_pldt" xfId="65" xr:uid="{657528ED-ABF0-47DD-944B-310353EAA51A}"/>
    <cellStyle name="Valuta_pldt" xfId="66" xr:uid="{852DF633-55DB-4E41-B231-4B89C66389B6}"/>
    <cellStyle name="Warning Text 2" xfId="55" xr:uid="{E7B4BD46-B4E5-4410-AB0B-67C010922B3E}"/>
    <cellStyle name="WRI tabel head" xfId="127" xr:uid="{417A02AC-2398-4DB1-8134-E758D56739CC}"/>
  </cellStyles>
  <dxfs count="199">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1" tint="0.499984740745262"/>
        </patternFill>
      </fill>
    </dxf>
    <dxf>
      <fill>
        <patternFill>
          <bgColor theme="1" tint="0.499984740745262"/>
        </patternFill>
      </fill>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fill>
        <patternFill patternType="solid">
          <fgColor indexed="64"/>
          <bgColor theme="4" tint="0.79998168889431442"/>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6100"/>
        <name val="Calibri"/>
        <family val="2"/>
        <scheme val="minor"/>
      </font>
      <fill>
        <patternFill patternType="solid">
          <fgColor indexed="64"/>
          <bgColor rgb="FFC6EFCE"/>
        </patternFill>
      </fill>
      <border diagonalUp="0" diagonalDown="0">
        <left/>
        <right/>
        <top/>
        <bottom style="thin">
          <color theme="4"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tint="0.79998168889431442"/>
        </patternFill>
      </fill>
      <alignment horizontal="center" vertical="bottom" textRotation="0" wrapText="0" indent="0" justifyLastLine="0" shrinkToFit="0" readingOrder="0"/>
      <border diagonalUp="0" diagonalDown="0">
        <left/>
        <right style="thin">
          <color indexed="64"/>
        </right>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79998168889431442"/>
        </patternFill>
      </fill>
      <border diagonalUp="0" diagonalDown="0">
        <left/>
        <right/>
        <top/>
        <bottom style="thin">
          <color theme="4" tint="0.39997558519241921"/>
        </bottom>
        <vertical/>
        <horizontal/>
      </border>
    </dxf>
    <dxf>
      <border outline="0">
        <left style="medium">
          <color indexed="64"/>
        </left>
        <right style="medium">
          <color indexed="64"/>
        </right>
        <top style="thin">
          <color indexed="64"/>
        </top>
        <bottom style="medium">
          <color indexed="64"/>
        </bottom>
      </border>
    </dxf>
    <dxf>
      <border>
        <bottom style="medium">
          <color indexed="64"/>
        </bottom>
      </border>
    </dxf>
    <dxf>
      <font>
        <b/>
        <i val="0"/>
        <strike val="0"/>
        <condense val="0"/>
        <extend val="0"/>
        <outline val="0"/>
        <shadow val="0"/>
        <u val="none"/>
        <vertAlign val="baseline"/>
        <sz val="12"/>
        <color auto="1"/>
        <name val="Verdana"/>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name val="Calibri"/>
        <family val="2"/>
        <scheme val="minor"/>
      </font>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border outline="0">
        <top style="medium">
          <color indexed="64"/>
        </top>
      </border>
    </dxf>
    <dxf>
      <font>
        <strike val="0"/>
        <outline val="0"/>
        <shadow val="0"/>
        <vertAlign val="baseline"/>
        <name val="Calibri"/>
        <family val="2"/>
        <scheme val="minor"/>
      </font>
    </dxf>
    <dxf>
      <border outline="0">
        <bottom style="medium">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tint="-0.249977111117893"/>
        </patternFill>
      </fill>
      <alignment horizontal="center" vertical="center" textRotation="0" wrapText="0" indent="0" justifyLastLine="0" shrinkToFit="0" readingOrder="0"/>
    </dxf>
    <dxf>
      <font>
        <strike val="0"/>
        <outline val="0"/>
        <shadow val="0"/>
        <vertAlign val="baseline"/>
        <name val="Calibri"/>
        <family val="2"/>
        <scheme val="minor"/>
      </font>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font>
        <strike val="0"/>
        <outline val="0"/>
        <shadow val="0"/>
        <vertAlign val="baseline"/>
        <name val="Calibri"/>
        <family val="2"/>
        <scheme val="minor"/>
      </font>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name val="Calibri"/>
        <family val="2"/>
        <scheme val="minor"/>
      </font>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border outline="0">
        <top style="medium">
          <color indexed="64"/>
        </top>
      </border>
    </dxf>
    <dxf>
      <font>
        <strike val="0"/>
        <outline val="0"/>
        <shadow val="0"/>
        <vertAlign val="baseline"/>
        <name val="Calibri"/>
        <family val="2"/>
        <scheme val="minor"/>
      </font>
    </dxf>
    <dxf>
      <border outline="0">
        <bottom style="medium">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name val="Calibri"/>
        <family val="2"/>
        <scheme val="minor"/>
      </font>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border outline="0">
        <top style="medium">
          <color indexed="64"/>
        </top>
      </border>
    </dxf>
    <dxf>
      <font>
        <strike val="0"/>
        <outline val="0"/>
        <shadow val="0"/>
        <vertAlign val="baseline"/>
        <name val="Calibri"/>
        <family val="2"/>
        <scheme val="minor"/>
      </font>
    </dxf>
    <dxf>
      <border outline="0">
        <bottom style="medium">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tint="-0.249977111117893"/>
        </patternFill>
      </fill>
      <alignment horizontal="center" vertical="center" textRotation="0" wrapText="0" indent="0" justifyLastLine="0" shrinkToFit="0" readingOrder="0"/>
    </dxf>
    <dxf>
      <font>
        <strike val="0"/>
        <outline val="0"/>
        <shadow val="0"/>
        <vertAlign val="baseline"/>
        <name val="Calibri"/>
        <family val="2"/>
        <scheme val="minor"/>
      </font>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font>
        <strike val="0"/>
        <outline val="0"/>
        <shadow val="0"/>
        <vertAlign val="baseline"/>
        <name val="Calibri"/>
        <family val="2"/>
        <scheme val="minor"/>
      </font>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name val="Calibri"/>
        <family val="2"/>
        <scheme val="minor"/>
      </font>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border outline="0">
        <top style="medium">
          <color indexed="64"/>
        </top>
      </border>
    </dxf>
    <dxf>
      <font>
        <strike val="0"/>
        <outline val="0"/>
        <shadow val="0"/>
        <vertAlign val="baseline"/>
        <name val="Calibri"/>
        <family val="2"/>
        <scheme val="minor"/>
      </font>
    </dxf>
    <dxf>
      <border outline="0">
        <bottom style="medium">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tint="-0.249977111117893"/>
        </patternFill>
      </fill>
      <alignment horizontal="center" vertical="center" textRotation="0" wrapText="0" indent="0" justifyLastLine="0" shrinkToFit="0" readingOrder="0"/>
    </dxf>
    <dxf>
      <font>
        <strike val="0"/>
        <outline val="0"/>
        <shadow val="0"/>
        <vertAlign val="baseline"/>
        <name val="Calibri"/>
        <family val="2"/>
        <scheme val="minor"/>
      </font>
      <alignment vertical="center" textRotation="0" wrapText="0" indent="0" justifyLastLine="0" shrinkToFit="0" readingOrder="0"/>
    </dxf>
    <dxf>
      <font>
        <strike val="0"/>
        <outline val="0"/>
        <shadow val="0"/>
        <vertAlign val="baseline"/>
        <name val="Calibri"/>
        <family val="2"/>
        <scheme val="minor"/>
      </font>
      <alignment vertical="center" textRotation="0" wrapText="0" indent="0" justifyLastLine="0" shrinkToFit="0" readingOrder="0"/>
    </dxf>
    <dxf>
      <font>
        <strike val="0"/>
        <outline val="0"/>
        <shadow val="0"/>
        <vertAlign val="baseline"/>
        <name val="Calibri"/>
        <family val="2"/>
        <scheme val="minor"/>
      </font>
      <alignment vertical="center" textRotation="0" wrapText="0" indent="0" justifyLastLine="0" shrinkToFit="0" readingOrder="0"/>
    </dxf>
    <dxf>
      <font>
        <strike val="0"/>
        <outline val="0"/>
        <shadow val="0"/>
        <vertAlign val="baseline"/>
        <name val="Calibri"/>
        <family val="2"/>
        <scheme val="minor"/>
      </font>
      <alignment vertical="center" textRotation="0" wrapText="0" indent="0" justifyLastLine="0" shrinkToFit="0" readingOrder="0"/>
    </dxf>
    <dxf>
      <font>
        <strike val="0"/>
        <outline val="0"/>
        <shadow val="0"/>
        <vertAlign val="baseline"/>
        <name val="Calibri"/>
        <family val="2"/>
        <scheme val="minor"/>
      </font>
      <alignment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Calibri"/>
        <family val="2"/>
        <scheme val="minor"/>
      </font>
      <alignment vertical="center" textRotation="0" wrapText="0" indent="0" justifyLastLine="0" shrinkToFit="0" readingOrder="0"/>
    </dxf>
    <dxf>
      <border outline="0">
        <bottom style="medium">
          <color indexed="64"/>
        </bottom>
      </border>
    </dxf>
    <dxf>
      <font>
        <strike val="0"/>
        <outline val="0"/>
        <shadow val="0"/>
        <u val="none"/>
        <vertAlign val="baseline"/>
        <color auto="1"/>
        <name val="Calibri"/>
        <family val="2"/>
        <scheme val="minor"/>
      </font>
      <fill>
        <patternFill patternType="solid">
          <fgColor indexed="64"/>
          <bgColor theme="2" tint="-9.9978637043366805E-2"/>
        </patternFill>
      </fill>
      <alignment vertical="center" textRotation="0" wrapText="0" indent="0" justifyLastLine="0" shrinkToFit="0" readingOrder="0"/>
    </dxf>
    <dxf>
      <font>
        <strike val="0"/>
        <outline val="0"/>
        <shadow val="0"/>
        <vertAlign val="baseline"/>
        <name val="Calibri"/>
        <family val="2"/>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fill>
        <patternFill patternType="solid">
          <fgColor indexed="64"/>
          <bgColor theme="5" tint="0.79998168889431442"/>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numFmt numFmtId="0" formatCode="General"/>
      <border diagonalUp="0" diagonalDown="0" outline="0">
        <left style="medium">
          <color indexed="64"/>
        </left>
      </border>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style="medium">
          <color indexed="64"/>
        </left>
        <right/>
        <top style="medium">
          <color indexed="64"/>
        </top>
        <bottom style="medium">
          <color indexed="64"/>
        </bottom>
      </border>
    </dxf>
    <dxf>
      <font>
        <strike val="0"/>
        <outline val="0"/>
        <shadow val="0"/>
        <vertAlign val="baseline"/>
        <name val="Calibri"/>
        <family val="2"/>
        <scheme val="minor"/>
      </font>
      <alignment horizontal="center" vertical="bottom" textRotation="0" wrapText="0" indent="0" justifyLastLine="0" shrinkToFit="0" readingOrder="0"/>
      <border diagonalUp="0" diagonalDown="0" outline="0">
        <left/>
        <right style="thin">
          <color indexed="64"/>
        </right>
      </border>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right/>
        <top/>
        <bottom style="medium">
          <color indexed="64"/>
        </bottom>
      </border>
    </dxf>
    <dxf>
      <font>
        <strike val="0"/>
        <outline val="0"/>
        <shadow val="0"/>
        <vertAlign val="baseline"/>
        <name val="Calibri"/>
        <family val="2"/>
        <scheme val="minor"/>
      </font>
    </dxf>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border diagonalUp="0" diagonalDown="0" outline="0">
        <left/>
        <right/>
        <top/>
        <bottom style="medium">
          <color indexed="64"/>
        </bottom>
      </border>
    </dxf>
    <dxf>
      <font>
        <strike val="0"/>
        <outline val="0"/>
        <shadow val="0"/>
        <vertAlign val="baseline"/>
        <name val="Calibri"/>
        <family val="2"/>
        <scheme val="minor"/>
      </font>
    </dxf>
    <dxf>
      <font>
        <b/>
        <i val="0"/>
        <strike val="0"/>
        <condense val="0"/>
        <extend val="0"/>
        <outline val="0"/>
        <shadow val="0"/>
        <u val="none"/>
        <vertAlign val="baseline"/>
        <sz val="10"/>
        <color auto="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Calibri"/>
        <family val="2"/>
        <scheme val="minor"/>
      </font>
    </dxf>
    <dxf>
      <border outline="0">
        <bottom style="medium">
          <color indexed="64"/>
        </bottom>
      </border>
    </dxf>
    <dxf>
      <font>
        <strike val="0"/>
        <outline val="0"/>
        <shadow val="0"/>
        <u val="none"/>
        <vertAlign val="baseline"/>
        <color auto="1"/>
        <name val="Calibri"/>
        <family val="2"/>
        <scheme val="minor"/>
      </font>
      <fill>
        <patternFill patternType="solid">
          <fgColor indexed="64"/>
          <bgColor theme="0" tint="-0.249977111117893"/>
        </patternFill>
      </fill>
    </dxf>
  </dxfs>
  <tableStyles count="0" defaultTableStyle="TableStyleMedium2" defaultPivotStyle="PivotStyleLight16"/>
  <colors>
    <mruColors>
      <color rgb="FFFFD5A6"/>
      <color rgb="FFEFB370"/>
      <color rgb="FFEBD8B2"/>
      <color rgb="FFC8B6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5</xdr:col>
      <xdr:colOff>627983</xdr:colOff>
      <xdr:row>0</xdr:row>
      <xdr:rowOff>0</xdr:rowOff>
    </xdr:from>
    <xdr:ext cx="65" cy="172227"/>
    <xdr:sp macro="" textlink="">
      <xdr:nvSpPr>
        <xdr:cNvPr id="7" name="TextBox 6">
          <a:extLst>
            <a:ext uri="{FF2B5EF4-FFF2-40B4-BE49-F238E27FC236}">
              <a16:creationId xmlns:a16="http://schemas.microsoft.com/office/drawing/2014/main" id="{0CEA9D28-2640-42F4-A2C9-B4E692F2782D}"/>
            </a:ext>
          </a:extLst>
        </xdr:cNvPr>
        <xdr:cNvSpPr txBox="1"/>
      </xdr:nvSpPr>
      <xdr:spPr>
        <a:xfrm>
          <a:off x="8933783" y="39830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oneCellAnchor>
    <xdr:from>
      <xdr:col>5</xdr:col>
      <xdr:colOff>457200</xdr:colOff>
      <xdr:row>0</xdr:row>
      <xdr:rowOff>0</xdr:rowOff>
    </xdr:from>
    <xdr:ext cx="65" cy="172227"/>
    <xdr:sp macro="" textlink="">
      <xdr:nvSpPr>
        <xdr:cNvPr id="8" name="TextBox 7">
          <a:extLst>
            <a:ext uri="{FF2B5EF4-FFF2-40B4-BE49-F238E27FC236}">
              <a16:creationId xmlns:a16="http://schemas.microsoft.com/office/drawing/2014/main" id="{FD5AEC55-C07A-467D-944F-D8BB6FF535B1}"/>
            </a:ext>
          </a:extLst>
        </xdr:cNvPr>
        <xdr:cNvSpPr txBox="1"/>
      </xdr:nvSpPr>
      <xdr:spPr>
        <a:xfrm>
          <a:off x="8763000" y="12052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oneCellAnchor>
    <xdr:from>
      <xdr:col>6</xdr:col>
      <xdr:colOff>0</xdr:colOff>
      <xdr:row>15</xdr:row>
      <xdr:rowOff>0</xdr:rowOff>
    </xdr:from>
    <xdr:ext cx="65" cy="172227"/>
    <xdr:sp macro="" textlink="">
      <xdr:nvSpPr>
        <xdr:cNvPr id="13" name="TextBox 12">
          <a:extLst>
            <a:ext uri="{FF2B5EF4-FFF2-40B4-BE49-F238E27FC236}">
              <a16:creationId xmlns:a16="http://schemas.microsoft.com/office/drawing/2014/main" id="{FE1F9EAE-A5F2-40B4-939C-CC0279F1103C}"/>
            </a:ext>
          </a:extLst>
        </xdr:cNvPr>
        <xdr:cNvSpPr txBox="1"/>
      </xdr:nvSpPr>
      <xdr:spPr>
        <a:xfrm>
          <a:off x="8394700" y="2774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oneCellAnchor>
    <xdr:from>
      <xdr:col>6</xdr:col>
      <xdr:colOff>0</xdr:colOff>
      <xdr:row>15</xdr:row>
      <xdr:rowOff>0</xdr:rowOff>
    </xdr:from>
    <xdr:ext cx="65" cy="172227"/>
    <xdr:sp macro="" textlink="">
      <xdr:nvSpPr>
        <xdr:cNvPr id="14" name="TextBox 13">
          <a:extLst>
            <a:ext uri="{FF2B5EF4-FFF2-40B4-BE49-F238E27FC236}">
              <a16:creationId xmlns:a16="http://schemas.microsoft.com/office/drawing/2014/main" id="{59AB41E5-F8B3-45A5-81AC-941A922D1D86}"/>
            </a:ext>
          </a:extLst>
        </xdr:cNvPr>
        <xdr:cNvSpPr txBox="1"/>
      </xdr:nvSpPr>
      <xdr:spPr>
        <a:xfrm>
          <a:off x="8394700" y="2774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oneCellAnchor>
    <xdr:from>
      <xdr:col>5</xdr:col>
      <xdr:colOff>627983</xdr:colOff>
      <xdr:row>22</xdr:row>
      <xdr:rowOff>23653</xdr:rowOff>
    </xdr:from>
    <xdr:ext cx="65" cy="172227"/>
    <xdr:sp macro="" textlink="">
      <xdr:nvSpPr>
        <xdr:cNvPr id="15" name="TextBox 14">
          <a:extLst>
            <a:ext uri="{FF2B5EF4-FFF2-40B4-BE49-F238E27FC236}">
              <a16:creationId xmlns:a16="http://schemas.microsoft.com/office/drawing/2014/main" id="{5A236308-0A98-4D73-A503-BCDD13D6FE05}"/>
            </a:ext>
          </a:extLst>
        </xdr:cNvPr>
        <xdr:cNvSpPr txBox="1"/>
      </xdr:nvSpPr>
      <xdr:spPr>
        <a:xfrm>
          <a:off x="8933783" y="39830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oneCellAnchor>
    <xdr:from>
      <xdr:col>5</xdr:col>
      <xdr:colOff>457200</xdr:colOff>
      <xdr:row>26</xdr:row>
      <xdr:rowOff>87630</xdr:rowOff>
    </xdr:from>
    <xdr:ext cx="65" cy="172227"/>
    <xdr:sp macro="" textlink="">
      <xdr:nvSpPr>
        <xdr:cNvPr id="16" name="TextBox 15">
          <a:extLst>
            <a:ext uri="{FF2B5EF4-FFF2-40B4-BE49-F238E27FC236}">
              <a16:creationId xmlns:a16="http://schemas.microsoft.com/office/drawing/2014/main" id="{C817A857-B0E8-4050-B2AD-8E580BD64CA9}"/>
            </a:ext>
          </a:extLst>
        </xdr:cNvPr>
        <xdr:cNvSpPr txBox="1"/>
      </xdr:nvSpPr>
      <xdr:spPr>
        <a:xfrm>
          <a:off x="8763000" y="12052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oneCellAnchor>
    <xdr:from>
      <xdr:col>7</xdr:col>
      <xdr:colOff>161925</xdr:colOff>
      <xdr:row>42</xdr:row>
      <xdr:rowOff>157162</xdr:rowOff>
    </xdr:from>
    <xdr:ext cx="2552943" cy="410753"/>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3A0B6574-5339-4FE7-9F51-4007C7B09CAB}"/>
                </a:ext>
              </a:extLst>
            </xdr:cNvPr>
            <xdr:cNvSpPr txBox="1"/>
          </xdr:nvSpPr>
          <xdr:spPr>
            <a:xfrm>
              <a:off x="11299825" y="4221162"/>
              <a:ext cx="2552943" cy="410753"/>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t-EE" sz="1100" i="1">
                            <a:solidFill>
                              <a:srgbClr val="836967"/>
                            </a:solidFill>
                            <a:latin typeface="Cambria Math" panose="02040503050406030204" pitchFamily="18" charset="0"/>
                          </a:rPr>
                        </m:ctrlPr>
                      </m:sSubPr>
                      <m:e>
                        <m:r>
                          <a:rPr lang="et-EE" sz="1100" i="1">
                            <a:latin typeface="Cambria Math" panose="02040503050406030204" pitchFamily="18" charset="0"/>
                          </a:rPr>
                          <m:t>𝐹</m:t>
                        </m:r>
                      </m:e>
                      <m:sub>
                        <m:r>
                          <a:rPr lang="en-US" sz="1100" b="0" i="1">
                            <a:latin typeface="Cambria Math" panose="02040503050406030204" pitchFamily="18" charset="0"/>
                          </a:rPr>
                          <m:t>𝑝𝑟𝑝</m:t>
                        </m:r>
                      </m:sub>
                    </m:sSub>
                    <m:r>
                      <a:rPr lang="et-EE" sz="1100" i="0">
                        <a:latin typeface="Cambria Math" panose="02040503050406030204" pitchFamily="18" charset="0"/>
                      </a:rPr>
                      <m:t>=</m:t>
                    </m:r>
                    <m:nary>
                      <m:naryPr>
                        <m:chr m:val="∑"/>
                        <m:limLoc m:val="undOvr"/>
                        <m:grow m:val="on"/>
                        <m:supHide m:val="on"/>
                        <m:ctrlPr>
                          <a:rPr lang="et-EE" sz="1100" i="1">
                            <a:latin typeface="Cambria Math" panose="02040503050406030204" pitchFamily="18" charset="0"/>
                          </a:rPr>
                        </m:ctrlPr>
                      </m:naryPr>
                      <m:sub>
                        <m:r>
                          <a:rPr lang="en-US" sz="1100" b="0" i="1">
                            <a:latin typeface="Cambria Math" panose="02040503050406030204" pitchFamily="18" charset="0"/>
                          </a:rPr>
                          <m:t>𝑇</m:t>
                        </m:r>
                      </m:sub>
                      <m:sup/>
                      <m:e>
                        <m:d>
                          <m:dPr>
                            <m:begChr m:val="["/>
                            <m:endChr m:val="]"/>
                            <m:ctrlPr>
                              <a:rPr lang="et-EE" sz="1100" i="1">
                                <a:solidFill>
                                  <a:srgbClr val="836967"/>
                                </a:solidFill>
                                <a:latin typeface="Cambria Math" panose="02040503050406030204" pitchFamily="18" charset="0"/>
                              </a:rPr>
                            </m:ctrlPr>
                          </m:dPr>
                          <m:e>
                            <m:d>
                              <m:dPr>
                                <m:ctrlPr>
                                  <a:rPr lang="en-US" sz="1100" b="0" i="1">
                                    <a:solidFill>
                                      <a:srgbClr val="836967"/>
                                    </a:solidFill>
                                    <a:latin typeface="Cambria Math" panose="02040503050406030204" pitchFamily="18" charset="0"/>
                                  </a:rPr>
                                </m:ctrlPr>
                              </m:dPr>
                              <m:e>
                                <m:r>
                                  <a:rPr lang="et-EE" sz="1100" i="1">
                                    <a:latin typeface="Cambria Math" panose="02040503050406030204" pitchFamily="18" charset="0"/>
                                  </a:rPr>
                                  <m:t>𝑁</m:t>
                                </m:r>
                                <m:d>
                                  <m:dPr>
                                    <m:ctrlPr>
                                      <a:rPr lang="en-US" sz="1100" b="0" i="1">
                                        <a:latin typeface="Cambria Math" panose="02040503050406030204" pitchFamily="18" charset="0"/>
                                      </a:rPr>
                                    </m:ctrlPr>
                                  </m:dPr>
                                  <m:e>
                                    <m:r>
                                      <a:rPr lang="en-US" sz="1100" b="0" i="1">
                                        <a:latin typeface="Cambria Math" panose="02040503050406030204" pitchFamily="18" charset="0"/>
                                      </a:rPr>
                                      <m:t>𝑇</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𝑒𝑥</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𝑇</m:t>
                                    </m:r>
                                  </m:e>
                                </m:d>
                              </m:e>
                            </m:d>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𝑀𝑆</m:t>
                                </m:r>
                              </m:e>
                              <m:sub>
                                <m:r>
                                  <a:rPr lang="en-US" sz="1100" b="0" i="1">
                                    <a:latin typeface="Cambria Math" panose="02040503050406030204" pitchFamily="18" charset="0"/>
                                  </a:rPr>
                                  <m:t>𝑇</m:t>
                                </m:r>
                                <m:r>
                                  <a:rPr lang="en-US" sz="1100" b="0" i="1">
                                    <a:latin typeface="Cambria Math" panose="02040503050406030204" pitchFamily="18" charset="0"/>
                                  </a:rPr>
                                  <m:t>, </m:t>
                                </m:r>
                                <m:r>
                                  <a:rPr lang="en-US" sz="1100" b="0" i="1">
                                    <a:latin typeface="Cambria Math" panose="02040503050406030204" pitchFamily="18" charset="0"/>
                                  </a:rPr>
                                  <m:t>𝑃𝑅𝑃</m:t>
                                </m:r>
                              </m:sub>
                            </m:sSub>
                          </m:e>
                        </m:d>
                      </m:e>
                    </m:nary>
                  </m:oMath>
                </m:oMathPara>
              </a14:m>
              <a:endParaRPr lang="et-EE" sz="1100"/>
            </a:p>
          </xdr:txBody>
        </xdr:sp>
      </mc:Choice>
      <mc:Fallback xmlns="">
        <xdr:sp macro="" textlink="">
          <xdr:nvSpPr>
            <xdr:cNvPr id="17" name="TextBox 16">
              <a:extLst>
                <a:ext uri="{FF2B5EF4-FFF2-40B4-BE49-F238E27FC236}">
                  <a16:creationId xmlns:a16="http://schemas.microsoft.com/office/drawing/2014/main" id="{3A0B6574-5339-4FE7-9F51-4007C7B09CAB}"/>
                </a:ext>
              </a:extLst>
            </xdr:cNvPr>
            <xdr:cNvSpPr txBox="1"/>
          </xdr:nvSpPr>
          <xdr:spPr>
            <a:xfrm>
              <a:off x="11299825" y="4221162"/>
              <a:ext cx="2552943" cy="410753"/>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t-EE" sz="1100" i="0">
                  <a:latin typeface="Cambria Math" panose="02040503050406030204" pitchFamily="18" charset="0"/>
                </a:rPr>
                <a:t>𝐹</a:t>
              </a:r>
              <a:r>
                <a:rPr lang="et-EE" sz="1100" i="0">
                  <a:solidFill>
                    <a:srgbClr val="836967"/>
                  </a:solidFill>
                  <a:latin typeface="Cambria Math" panose="02040503050406030204" pitchFamily="18" charset="0"/>
                </a:rPr>
                <a:t>_</a:t>
              </a:r>
              <a:r>
                <a:rPr lang="en-US" sz="1100" b="0" i="0">
                  <a:latin typeface="Cambria Math" panose="02040503050406030204" pitchFamily="18" charset="0"/>
                </a:rPr>
                <a:t>𝑝𝑟𝑝</a:t>
              </a:r>
              <a:r>
                <a:rPr lang="et-EE" sz="1100" i="0">
                  <a:latin typeface="Cambria Math" panose="02040503050406030204" pitchFamily="18" charset="0"/>
                </a:rPr>
                <a:t>=∑129</a:t>
              </a:r>
              <a:r>
                <a:rPr lang="en-US" sz="1100" b="0" i="0">
                  <a:latin typeface="Cambria Math" panose="02040503050406030204" pitchFamily="18" charset="0"/>
                </a:rPr>
                <a:t>_𝑇▒</a:t>
              </a:r>
              <a:r>
                <a:rPr lang="et-EE" sz="1100" b="0" i="0">
                  <a:solidFill>
                    <a:srgbClr val="836967"/>
                  </a:solidFill>
                  <a:latin typeface="Cambria Math" panose="02040503050406030204" pitchFamily="18" charset="0"/>
                </a:rPr>
                <a:t>[</a:t>
              </a:r>
              <a:r>
                <a:rPr lang="en-US" sz="1100" b="0" i="0">
                  <a:solidFill>
                    <a:srgbClr val="836967"/>
                  </a:solidFill>
                  <a:latin typeface="Cambria Math" panose="02040503050406030204" pitchFamily="18" charset="0"/>
                </a:rPr>
                <a:t>(</a:t>
              </a:r>
              <a:r>
                <a:rPr lang="et-EE" sz="1100" i="0">
                  <a:latin typeface="Cambria Math" panose="02040503050406030204" pitchFamily="18" charset="0"/>
                </a:rPr>
                <a:t>𝑁</a:t>
              </a:r>
              <a:r>
                <a:rPr lang="en-US" sz="1100" b="0" i="0">
                  <a:latin typeface="Cambria Math" panose="02040503050406030204" pitchFamily="18" charset="0"/>
                </a:rPr>
                <a:t>(𝑇)∗𝑁 𝑒𝑥 (𝑇))∗〖𝑀𝑆〗_(𝑇, 𝑃𝑅𝑃) ] </a:t>
              </a:r>
              <a:endParaRPr lang="et-EE" sz="1100"/>
            </a:p>
          </xdr:txBody>
        </xdr:sp>
      </mc:Fallback>
    </mc:AlternateContent>
    <xdr:clientData/>
  </xdr:oneCellAnchor>
  <xdr:oneCellAnchor>
    <xdr:from>
      <xdr:col>19</xdr:col>
      <xdr:colOff>19050</xdr:colOff>
      <xdr:row>25</xdr:row>
      <xdr:rowOff>128587</xdr:rowOff>
    </xdr:from>
    <xdr:ext cx="10140084" cy="410818"/>
    <mc:AlternateContent xmlns:mc="http://schemas.openxmlformats.org/markup-compatibility/2006" xmlns:a14="http://schemas.microsoft.com/office/drawing/2010/main">
      <mc:Choice Requires="a14">
        <xdr:sp macro="" textlink="">
          <xdr:nvSpPr>
            <xdr:cNvPr id="18" name="TextBox 4">
              <a:extLst>
                <a:ext uri="{FF2B5EF4-FFF2-40B4-BE49-F238E27FC236}">
                  <a16:creationId xmlns:a16="http://schemas.microsoft.com/office/drawing/2014/main" id="{AF0C265F-5807-4FAE-80BD-F1CE66740BD3}"/>
                </a:ext>
              </a:extLst>
            </xdr:cNvPr>
            <xdr:cNvSpPr txBox="1"/>
          </xdr:nvSpPr>
          <xdr:spPr>
            <a:xfrm>
              <a:off x="18986500" y="1062037"/>
              <a:ext cx="10140084" cy="410818"/>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t-EE" sz="1100" i="1" u="none">
                            <a:solidFill>
                              <a:srgbClr val="836967"/>
                            </a:solidFill>
                            <a:latin typeface="Cambria Math" panose="02040503050406030204" pitchFamily="18" charset="0"/>
                          </a:rPr>
                        </m:ctrlPr>
                      </m:sSubPr>
                      <m:e>
                        <m:r>
                          <a:rPr lang="et-EE" sz="1100" i="1" u="none">
                            <a:latin typeface="Cambria Math" panose="02040503050406030204" pitchFamily="18" charset="0"/>
                          </a:rPr>
                          <m:t>𝐹</m:t>
                        </m:r>
                      </m:e>
                      <m:sub>
                        <m:r>
                          <a:rPr lang="en-US" sz="1100" b="0" i="1" u="none">
                            <a:latin typeface="Cambria Math" panose="02040503050406030204" pitchFamily="18" charset="0"/>
                          </a:rPr>
                          <m:t>𝑐𝑟</m:t>
                        </m:r>
                      </m:sub>
                    </m:sSub>
                    <m:r>
                      <a:rPr lang="et-EE" sz="1100" i="0" u="none">
                        <a:latin typeface="Cambria Math" panose="02040503050406030204" pitchFamily="18" charset="0"/>
                      </a:rPr>
                      <m:t>=</m:t>
                    </m:r>
                    <m:nary>
                      <m:naryPr>
                        <m:chr m:val="∑"/>
                        <m:limLoc m:val="undOvr"/>
                        <m:grow m:val="on"/>
                        <m:supHide m:val="on"/>
                        <m:ctrlPr>
                          <a:rPr lang="et-EE" sz="1100" i="1" u="none">
                            <a:latin typeface="Cambria Math" panose="02040503050406030204" pitchFamily="18" charset="0"/>
                          </a:rPr>
                        </m:ctrlPr>
                      </m:naryPr>
                      <m:sub>
                        <m:r>
                          <a:rPr lang="en-US" sz="1100" b="0" i="1" u="none">
                            <a:latin typeface="Cambria Math" panose="02040503050406030204" pitchFamily="18" charset="0"/>
                          </a:rPr>
                          <m:t>𝑘𝑢𝑙𝑡𝑢𝑢𝑟</m:t>
                        </m:r>
                      </m:sub>
                      <m:sup/>
                      <m:e>
                        <m:r>
                          <a:rPr lang="en-US" sz="1100" b="0" i="1" u="none">
                            <a:latin typeface="Cambria Math" panose="02040503050406030204" pitchFamily="18" charset="0"/>
                          </a:rPr>
                          <m:t>{</m:t>
                        </m:r>
                        <m:r>
                          <a:rPr lang="en-US" sz="1100" b="0" i="1" u="none">
                            <a:latin typeface="Cambria Math" panose="02040503050406030204" pitchFamily="18" charset="0"/>
                          </a:rPr>
                          <m:t>𝐴𝑟𝑒𝑎</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𝐶𝑟𝑜𝑝</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𝑅</m:t>
                        </m:r>
                        <m:r>
                          <a:rPr lang="en-US" sz="1100" b="0" i="1" u="none">
                            <a:latin typeface="Cambria Math" panose="02040503050406030204" pitchFamily="18" charset="0"/>
                          </a:rPr>
                          <m:t> </m:t>
                        </m:r>
                        <m:r>
                          <a:rPr lang="en-US" sz="1100" b="0" i="1" u="none">
                            <a:latin typeface="Cambria Math" panose="02040503050406030204" pitchFamily="18" charset="0"/>
                          </a:rPr>
                          <m:t>𝑎𝑔</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𝑁</m:t>
                        </m:r>
                        <m:r>
                          <a:rPr lang="en-US" sz="1100" b="0" i="1" u="none">
                            <a:latin typeface="Cambria Math" panose="02040503050406030204" pitchFamily="18" charset="0"/>
                          </a:rPr>
                          <m:t> </m:t>
                        </m:r>
                        <m:r>
                          <a:rPr lang="en-US" sz="1100" b="0" i="1" u="none">
                            <a:latin typeface="Cambria Math" panose="02040503050406030204" pitchFamily="18" charset="0"/>
                          </a:rPr>
                          <m:t>𝑎𝑔</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d>
                          <m:dPr>
                            <m:endChr m:val="]"/>
                            <m:ctrlPr>
                              <a:rPr lang="en-US" sz="1100" b="0" i="1" u="none">
                                <a:latin typeface="Cambria Math" panose="02040503050406030204" pitchFamily="18" charset="0"/>
                              </a:rPr>
                            </m:ctrlPr>
                          </m:dPr>
                          <m:e>
                            <m:r>
                              <a:rPr lang="en-US" sz="1100" b="0" i="1" u="none">
                                <a:latin typeface="Cambria Math" panose="02040503050406030204" pitchFamily="18" charset="0"/>
                              </a:rPr>
                              <m:t>1−</m:t>
                            </m:r>
                            <m:r>
                              <a:rPr lang="en-US" sz="1100" b="0" i="1" u="none">
                                <a:latin typeface="Cambria Math" panose="02040503050406030204" pitchFamily="18" charset="0"/>
                              </a:rPr>
                              <m:t>𝐹𝑟𝑎𝑐</m:t>
                            </m:r>
                            <m:r>
                              <a:rPr lang="en-US" sz="1100" b="0" i="1" u="none">
                                <a:latin typeface="Cambria Math" panose="02040503050406030204" pitchFamily="18" charset="0"/>
                              </a:rPr>
                              <m:t> </m:t>
                            </m:r>
                            <m:r>
                              <a:rPr lang="en-US" sz="1100" b="0" i="1" u="none">
                                <a:latin typeface="Cambria Math" panose="02040503050406030204" pitchFamily="18" charset="0"/>
                              </a:rPr>
                              <m:t>𝑟𝑒𝑚𝑜𝑣𝑒</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e>
                        </m:d>
                        <m:r>
                          <a:rPr lang="en-US" sz="1100" b="0" i="1" u="none">
                            <a:latin typeface="Cambria Math" panose="02040503050406030204" pitchFamily="18" charset="0"/>
                          </a:rPr>
                          <m:t>+[</m:t>
                        </m:r>
                        <m:r>
                          <a:rPr lang="en-US" sz="1100" b="0" i="1" u="none">
                            <a:latin typeface="Cambria Math" panose="02040503050406030204" pitchFamily="18" charset="0"/>
                          </a:rPr>
                          <m:t>𝐶𝑟𝑜𝑝</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𝑅𝑆</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𝑁</m:t>
                        </m:r>
                        <m:r>
                          <a:rPr lang="en-US" sz="1100" b="0" i="1" u="none">
                            <a:latin typeface="Cambria Math" panose="02040503050406030204" pitchFamily="18" charset="0"/>
                          </a:rPr>
                          <m:t> </m:t>
                        </m:r>
                        <m:r>
                          <a:rPr lang="en-US" sz="1100" b="0" i="1" u="none">
                            <a:latin typeface="Cambria Math" panose="02040503050406030204" pitchFamily="18" charset="0"/>
                          </a:rPr>
                          <m:t>𝑏𝑔</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e>
                    </m:nary>
                  </m:oMath>
                </m:oMathPara>
              </a14:m>
              <a:endParaRPr lang="et-EE" sz="1100" u="none"/>
            </a:p>
          </xdr:txBody>
        </xdr:sp>
      </mc:Choice>
      <mc:Fallback xmlns="">
        <xdr:sp macro="" textlink="">
          <xdr:nvSpPr>
            <xdr:cNvPr id="18" name="TextBox 4">
              <a:extLst>
                <a:ext uri="{FF2B5EF4-FFF2-40B4-BE49-F238E27FC236}">
                  <a16:creationId xmlns:a16="http://schemas.microsoft.com/office/drawing/2014/main" id="{AF0C265F-5807-4FAE-80BD-F1CE66740BD3}"/>
                </a:ext>
              </a:extLst>
            </xdr:cNvPr>
            <xdr:cNvSpPr txBox="1"/>
          </xdr:nvSpPr>
          <xdr:spPr>
            <a:xfrm>
              <a:off x="18986500" y="1062037"/>
              <a:ext cx="10140084" cy="410818"/>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t-EE" sz="1100" i="0" u="none">
                  <a:latin typeface="Cambria Math" panose="02040503050406030204" pitchFamily="18" charset="0"/>
                </a:rPr>
                <a:t>𝐹</a:t>
              </a:r>
              <a:r>
                <a:rPr lang="et-EE" sz="1100" i="0" u="none">
                  <a:solidFill>
                    <a:srgbClr val="836967"/>
                  </a:solidFill>
                  <a:latin typeface="Cambria Math" panose="02040503050406030204" pitchFamily="18" charset="0"/>
                </a:rPr>
                <a:t>_</a:t>
              </a:r>
              <a:r>
                <a:rPr lang="en-US" sz="1100" b="0" i="0" u="none">
                  <a:latin typeface="Cambria Math" panose="02040503050406030204" pitchFamily="18" charset="0"/>
                </a:rPr>
                <a:t>𝑐𝑟</a:t>
              </a:r>
              <a:r>
                <a:rPr lang="et-EE" sz="1100" i="0" u="none">
                  <a:latin typeface="Cambria Math" panose="02040503050406030204" pitchFamily="18" charset="0"/>
                </a:rPr>
                <a:t>=∑129</a:t>
              </a:r>
              <a:r>
                <a:rPr lang="en-US" sz="1100" b="0" i="0" u="none">
                  <a:latin typeface="Cambria Math" panose="02040503050406030204" pitchFamily="18" charset="0"/>
                </a:rPr>
                <a:t>_𝑘𝑢𝑙𝑡𝑢𝑢𝑟▒</a:t>
              </a:r>
              <a:r>
                <a:rPr lang="et-EE" sz="1100" b="0" i="0" u="none">
                  <a:latin typeface="Cambria Math" panose="02040503050406030204" pitchFamily="18" charset="0"/>
                </a:rPr>
                <a:t>〖</a:t>
              </a:r>
              <a:r>
                <a:rPr lang="en-US" sz="1100" b="0" i="0" u="none">
                  <a:latin typeface="Cambria Math" panose="02040503050406030204" pitchFamily="18" charset="0"/>
                </a:rPr>
                <a:t>{𝐴𝑟𝑒𝑎 (𝑐𝑢𝑙𝑡𝑢𝑟𝑒)∗[𝐶𝑟𝑜𝑝 (𝑐𝑢𝑙𝑡𝑢𝑟𝑒)∗𝑅 𝑎𝑔 (𝑐𝑢𝑙𝑡𝑢𝑟𝑒)∗𝑁 𝑎𝑔 (𝑐𝑢𝑙𝑡𝑢𝑟𝑒)∗(1−𝐹𝑟𝑎𝑐 𝑟𝑒𝑚𝑜𝑣𝑒 (𝑐𝑢𝑙𝑡𝑢𝑟𝑒))]+[𝐶𝑟𝑜𝑝 (𝑐𝑢𝑙𝑡𝑢𝑟𝑒)∗𝑅𝑆 (𝑐𝑢𝑙𝑡𝑢𝑟𝑒)∗𝑁 𝑏𝑔 (𝑐𝑢𝑙𝑡𝑢𝑟𝑒)]}</a:t>
              </a:r>
              <a:r>
                <a:rPr lang="et-EE" sz="1100" b="0" i="0" u="none">
                  <a:latin typeface="Cambria Math" panose="02040503050406030204" pitchFamily="18" charset="0"/>
                </a:rPr>
                <a:t>〗</a:t>
              </a:r>
              <a:endParaRPr lang="et-EE" sz="1100" u="none"/>
            </a:p>
          </xdr:txBody>
        </xdr:sp>
      </mc:Fallback>
    </mc:AlternateContent>
    <xdr:clientData/>
  </xdr:oneCellAnchor>
  <xdr:oneCellAnchor>
    <xdr:from>
      <xdr:col>19</xdr:col>
      <xdr:colOff>9525</xdr:colOff>
      <xdr:row>37</xdr:row>
      <xdr:rowOff>138112</xdr:rowOff>
    </xdr:from>
    <xdr:ext cx="9163662" cy="410818"/>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BF9C9958-6933-48BD-91E5-BC4BAC661BAD}"/>
                </a:ext>
              </a:extLst>
            </xdr:cNvPr>
            <xdr:cNvSpPr txBox="1"/>
          </xdr:nvSpPr>
          <xdr:spPr>
            <a:xfrm>
              <a:off x="18976975" y="3281362"/>
              <a:ext cx="9163662" cy="410818"/>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t-EE" sz="1100" i="1">
                            <a:solidFill>
                              <a:srgbClr val="836967"/>
                            </a:solidFill>
                            <a:latin typeface="Cambria Math" panose="02040503050406030204" pitchFamily="18" charset="0"/>
                          </a:rPr>
                        </m:ctrlPr>
                      </m:sSubPr>
                      <m:e>
                        <m:r>
                          <a:rPr lang="et-EE" sz="1100" i="1">
                            <a:latin typeface="Cambria Math" panose="02040503050406030204" pitchFamily="18" charset="0"/>
                          </a:rPr>
                          <m:t>𝐹</m:t>
                        </m:r>
                      </m:e>
                      <m:sub>
                        <m:r>
                          <a:rPr lang="en-US" sz="1100" b="0" i="1">
                            <a:latin typeface="Cambria Math" panose="02040503050406030204" pitchFamily="18" charset="0"/>
                          </a:rPr>
                          <m:t>𝑔𝑐𝑟</m:t>
                        </m:r>
                      </m:sub>
                    </m:sSub>
                    <m:r>
                      <a:rPr lang="et-EE" sz="1100" i="0">
                        <a:latin typeface="Cambria Math" panose="02040503050406030204" pitchFamily="18" charset="0"/>
                      </a:rPr>
                      <m:t>=</m:t>
                    </m:r>
                    <m:nary>
                      <m:naryPr>
                        <m:chr m:val="∑"/>
                        <m:limLoc m:val="undOvr"/>
                        <m:grow m:val="on"/>
                        <m:supHide m:val="on"/>
                        <m:ctrlPr>
                          <a:rPr lang="et-EE" sz="1100" i="1">
                            <a:latin typeface="Cambria Math" panose="02040503050406030204" pitchFamily="18" charset="0"/>
                          </a:rPr>
                        </m:ctrlPr>
                      </m:naryPr>
                      <m:sub>
                        <m:r>
                          <a:rPr lang="en-US" sz="1100" b="0" i="1">
                            <a:latin typeface="Cambria Math" panose="02040503050406030204" pitchFamily="18" charset="0"/>
                          </a:rPr>
                          <m:t>𝑘𝑢𝑙𝑡𝑢𝑢𝑟</m:t>
                        </m:r>
                      </m:sub>
                      <m:sup/>
                      <m:e>
                        <m:r>
                          <a:rPr lang="en-US" sz="1100" b="0" i="1">
                            <a:latin typeface="Cambria Math" panose="02040503050406030204" pitchFamily="18" charset="0"/>
                          </a:rPr>
                          <m:t>{</m:t>
                        </m:r>
                        <m:r>
                          <a:rPr lang="en-US" sz="1100" b="0" i="1">
                            <a:latin typeface="Cambria Math" panose="02040503050406030204" pitchFamily="18" charset="0"/>
                          </a:rPr>
                          <m:t>𝐴𝑟𝑒𝑎</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r>
                          <a:rPr lang="en-US" sz="1100" b="0" i="1">
                            <a:latin typeface="Cambria Math" panose="02040503050406030204" pitchFamily="18" charset="0"/>
                          </a:rPr>
                          <m:t>𝐶𝑟𝑜𝑝</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𝑎𝑔</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d>
                          <m:dPr>
                            <m:endChr m:val="]"/>
                            <m:ctrlPr>
                              <a:rPr lang="en-US" sz="1100" b="0" i="1">
                                <a:latin typeface="Cambria Math" panose="02040503050406030204" pitchFamily="18" charset="0"/>
                              </a:rPr>
                            </m:ctrlPr>
                          </m:dPr>
                          <m:e>
                            <m:r>
                              <a:rPr lang="en-US" sz="1100" b="0" i="1">
                                <a:latin typeface="Cambria Math" panose="02040503050406030204" pitchFamily="18" charset="0"/>
                              </a:rPr>
                              <m:t>1−</m:t>
                            </m:r>
                            <m:r>
                              <a:rPr lang="en-US" sz="1100" b="0" i="1">
                                <a:latin typeface="Cambria Math" panose="02040503050406030204" pitchFamily="18" charset="0"/>
                              </a:rPr>
                              <m:t>𝐹𝑟𝑎𝑐</m:t>
                            </m:r>
                            <m:r>
                              <a:rPr lang="en-US" sz="1100" b="0" i="1">
                                <a:latin typeface="Cambria Math" panose="02040503050406030204" pitchFamily="18" charset="0"/>
                              </a:rPr>
                              <m:t> </m:t>
                            </m:r>
                            <m:r>
                              <a:rPr lang="en-US" sz="1100" b="0" i="1">
                                <a:latin typeface="Cambria Math" panose="02040503050406030204" pitchFamily="18" charset="0"/>
                              </a:rPr>
                              <m:t>𝑟𝑒𝑚𝑜𝑣𝑒</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e>
                        </m:d>
                        <m:r>
                          <a:rPr lang="en-US" sz="1100" b="0" i="1">
                            <a:latin typeface="Cambria Math" panose="02040503050406030204" pitchFamily="18" charset="0"/>
                          </a:rPr>
                          <m:t>+[</m:t>
                        </m:r>
                        <m:r>
                          <a:rPr lang="en-US" sz="1100" b="0" i="1">
                            <a:latin typeface="Cambria Math" panose="02040503050406030204" pitchFamily="18" charset="0"/>
                          </a:rPr>
                          <m:t>𝐶𝑟𝑜𝑝</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r>
                          <a:rPr lang="en-US" sz="1100" b="0" i="1">
                            <a:latin typeface="Cambria Math" panose="02040503050406030204" pitchFamily="18" charset="0"/>
                          </a:rPr>
                          <m:t>𝑅𝑆</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𝑏𝑔</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e>
                    </m:nary>
                  </m:oMath>
                </m:oMathPara>
              </a14:m>
              <a:endParaRPr lang="et-EE" sz="1100"/>
            </a:p>
          </xdr:txBody>
        </xdr:sp>
      </mc:Choice>
      <mc:Fallback xmlns="">
        <xdr:sp macro="" textlink="">
          <xdr:nvSpPr>
            <xdr:cNvPr id="19" name="TextBox 18">
              <a:extLst>
                <a:ext uri="{FF2B5EF4-FFF2-40B4-BE49-F238E27FC236}">
                  <a16:creationId xmlns:a16="http://schemas.microsoft.com/office/drawing/2014/main" id="{BF9C9958-6933-48BD-91E5-BC4BAC661BAD}"/>
                </a:ext>
              </a:extLst>
            </xdr:cNvPr>
            <xdr:cNvSpPr txBox="1"/>
          </xdr:nvSpPr>
          <xdr:spPr>
            <a:xfrm>
              <a:off x="18976975" y="3281362"/>
              <a:ext cx="9163662" cy="410818"/>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t-EE" sz="1100" i="0">
                  <a:latin typeface="Cambria Math" panose="02040503050406030204" pitchFamily="18" charset="0"/>
                </a:rPr>
                <a:t>𝐹</a:t>
              </a:r>
              <a:r>
                <a:rPr lang="et-EE" sz="1100" i="0">
                  <a:solidFill>
                    <a:srgbClr val="836967"/>
                  </a:solidFill>
                  <a:latin typeface="Cambria Math" panose="02040503050406030204" pitchFamily="18" charset="0"/>
                </a:rPr>
                <a:t>_</a:t>
              </a:r>
              <a:r>
                <a:rPr lang="en-US" sz="1100" b="0" i="0">
                  <a:latin typeface="Cambria Math" panose="02040503050406030204" pitchFamily="18" charset="0"/>
                </a:rPr>
                <a:t>𝑔𝑐𝑟</a:t>
              </a:r>
              <a:r>
                <a:rPr lang="et-EE" sz="1100" i="0">
                  <a:latin typeface="Cambria Math" panose="02040503050406030204" pitchFamily="18" charset="0"/>
                </a:rPr>
                <a:t>=∑129</a:t>
              </a:r>
              <a:r>
                <a:rPr lang="en-US" sz="1100" b="0" i="0">
                  <a:latin typeface="Cambria Math" panose="02040503050406030204" pitchFamily="18" charset="0"/>
                </a:rPr>
                <a:t>_𝑘𝑢𝑙𝑡𝑢𝑢𝑟▒</a:t>
              </a:r>
              <a:r>
                <a:rPr lang="et-EE" sz="1100" b="0" i="0">
                  <a:latin typeface="Cambria Math" panose="02040503050406030204" pitchFamily="18" charset="0"/>
                </a:rPr>
                <a:t>〖</a:t>
              </a:r>
              <a:r>
                <a:rPr lang="en-US" sz="1100" b="0" i="0">
                  <a:latin typeface="Cambria Math" panose="02040503050406030204" pitchFamily="18" charset="0"/>
                </a:rPr>
                <a:t>{𝐴𝑟𝑒𝑎 (𝑐𝑢𝑙𝑡𝑢𝑟𝑒)∗[𝐶𝑟𝑜𝑝 (𝑐𝑢𝑙𝑡𝑢𝑟𝑒)∗𝑁 𝑎𝑔 (𝑐𝑢𝑙𝑡𝑢𝑟𝑒)∗(1−𝐹𝑟𝑎𝑐 𝑟𝑒𝑚𝑜𝑣𝑒 (𝑐𝑢𝑙𝑡𝑢𝑟𝑒))]+[𝐶𝑟𝑜𝑝 (𝑐𝑢𝑙𝑡𝑢𝑟𝑒)∗𝑅𝑆 (𝑐𝑢𝑙𝑡𝑢𝑟𝑒)∗𝑁 𝑏𝑔 (𝑐𝑢𝑙𝑡𝑢𝑟𝑒)]}</a:t>
              </a:r>
              <a:r>
                <a:rPr lang="et-EE" sz="1100" b="0" i="0">
                  <a:latin typeface="Cambria Math" panose="02040503050406030204" pitchFamily="18" charset="0"/>
                </a:rPr>
                <a:t>〗</a:t>
              </a:r>
              <a:endParaRPr lang="et-EE" sz="1100"/>
            </a:p>
          </xdr:txBody>
        </xdr:sp>
      </mc:Fallback>
    </mc:AlternateContent>
    <xdr:clientData/>
  </xdr:oneCellAnchor>
  <xdr:oneCellAnchor>
    <xdr:from>
      <xdr:col>20</xdr:col>
      <xdr:colOff>0</xdr:colOff>
      <xdr:row>51</xdr:row>
      <xdr:rowOff>0</xdr:rowOff>
    </xdr:from>
    <xdr:ext cx="7345664" cy="430054"/>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FFFBA1B5-6394-4788-B020-91B9338FD1BE}"/>
                </a:ext>
              </a:extLst>
            </xdr:cNvPr>
            <xdr:cNvSpPr txBox="1"/>
          </xdr:nvSpPr>
          <xdr:spPr>
            <a:xfrm>
              <a:off x="18967450" y="5721350"/>
              <a:ext cx="7345664" cy="430054"/>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t-EE" sz="1100" i="1">
                            <a:solidFill>
                              <a:srgbClr val="836967"/>
                            </a:solidFill>
                            <a:latin typeface="Cambria Math" panose="02040503050406030204" pitchFamily="18" charset="0"/>
                          </a:rPr>
                        </m:ctrlPr>
                      </m:sSubPr>
                      <m:e>
                        <m:r>
                          <a:rPr lang="et-EE" sz="1100" i="1">
                            <a:latin typeface="Cambria Math" panose="02040503050406030204" pitchFamily="18" charset="0"/>
                          </a:rPr>
                          <m:t>𝐹</m:t>
                        </m:r>
                      </m:e>
                      <m:sub>
                        <m:r>
                          <a:rPr lang="en-US" sz="1100" b="0" i="1">
                            <a:latin typeface="Cambria Math" panose="02040503050406030204" pitchFamily="18" charset="0"/>
                          </a:rPr>
                          <m:t>𝑝𝑔𝑟</m:t>
                        </m:r>
                      </m:sub>
                    </m:sSub>
                    <m:r>
                      <a:rPr lang="et-EE" sz="1100" i="0">
                        <a:latin typeface="Cambria Math" panose="02040503050406030204" pitchFamily="18" charset="0"/>
                      </a:rPr>
                      <m:t>=</m:t>
                    </m:r>
                    <m:nary>
                      <m:naryPr>
                        <m:chr m:val="∑"/>
                        <m:limLoc m:val="undOvr"/>
                        <m:grow m:val="on"/>
                        <m:supHide m:val="on"/>
                        <m:ctrlPr>
                          <a:rPr lang="et-EE" sz="1100" i="1">
                            <a:latin typeface="Cambria Math" panose="02040503050406030204" pitchFamily="18" charset="0"/>
                          </a:rPr>
                        </m:ctrlPr>
                      </m:naryPr>
                      <m:sub>
                        <m:r>
                          <a:rPr lang="en-US" sz="1100" b="0" i="1">
                            <a:latin typeface="Cambria Math" panose="02040503050406030204" pitchFamily="18" charset="0"/>
                          </a:rPr>
                          <m:t>𝑝𝑔𝑟</m:t>
                        </m:r>
                      </m:sub>
                      <m:sup/>
                      <m:e>
                        <m:r>
                          <a:rPr lang="en-US" sz="1100" b="0" i="1">
                            <a:latin typeface="Cambria Math" panose="02040503050406030204" pitchFamily="18" charset="0"/>
                          </a:rPr>
                          <m:t>{</m:t>
                        </m:r>
                        <m:r>
                          <a:rPr lang="en-US" sz="1100" b="0" i="1">
                            <a:latin typeface="Cambria Math" panose="02040503050406030204" pitchFamily="18" charset="0"/>
                          </a:rPr>
                          <m:t>𝐴𝑟𝑒𝑎</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r>
                          <a:rPr lang="en-US" sz="1100" b="0" i="1">
                            <a:latin typeface="Cambria Math" panose="02040503050406030204" pitchFamily="18" charset="0"/>
                          </a:rPr>
                          <m:t>𝐶𝑟𝑜𝑝</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𝑎𝑔</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d>
                          <m:dPr>
                            <m:endChr m:val="]"/>
                            <m:ctrlPr>
                              <a:rPr lang="en-US" sz="1100" b="0" i="1">
                                <a:latin typeface="Cambria Math" panose="02040503050406030204" pitchFamily="18" charset="0"/>
                              </a:rPr>
                            </m:ctrlPr>
                          </m:dPr>
                          <m:e>
                            <m:r>
                              <a:rPr lang="en-US" sz="1100" b="0" i="1">
                                <a:latin typeface="Cambria Math" panose="02040503050406030204" pitchFamily="18" charset="0"/>
                              </a:rPr>
                              <m:t>1−</m:t>
                            </m:r>
                            <m:r>
                              <a:rPr lang="en-US" sz="1100" b="0" i="1">
                                <a:latin typeface="Cambria Math" panose="02040503050406030204" pitchFamily="18" charset="0"/>
                              </a:rPr>
                              <m:t>𝐹𝑟𝑎𝑐</m:t>
                            </m:r>
                            <m:r>
                              <a:rPr lang="en-US" sz="1100" b="0" i="1">
                                <a:latin typeface="Cambria Math" panose="02040503050406030204" pitchFamily="18" charset="0"/>
                              </a:rPr>
                              <m:t> </m:t>
                            </m:r>
                            <m:r>
                              <a:rPr lang="en-US" sz="1100" b="0" i="1">
                                <a:latin typeface="Cambria Math" panose="02040503050406030204" pitchFamily="18" charset="0"/>
                              </a:rPr>
                              <m:t>𝑟𝑒𝑚𝑜𝑣𝑒</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e>
                        </m:d>
                        <m:r>
                          <a:rPr lang="en-US" sz="1100" b="0" i="1">
                            <a:latin typeface="Cambria Math" panose="02040503050406030204" pitchFamily="18" charset="0"/>
                          </a:rPr>
                          <m:t>+[</m:t>
                        </m:r>
                        <m:r>
                          <a:rPr lang="en-US" sz="1100" b="0" i="1">
                            <a:latin typeface="Cambria Math" panose="02040503050406030204" pitchFamily="18" charset="0"/>
                          </a:rPr>
                          <m:t>𝐶𝑟𝑜𝑝</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r>
                          <a:rPr lang="en-US" sz="1100" b="0" i="1">
                            <a:latin typeface="Cambria Math" panose="02040503050406030204" pitchFamily="18" charset="0"/>
                          </a:rPr>
                          <m:t>𝑅𝑆</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𝑏𝑔</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e>
                    </m:nary>
                  </m:oMath>
                </m:oMathPara>
              </a14:m>
              <a:endParaRPr lang="et-EE" sz="1100"/>
            </a:p>
          </xdr:txBody>
        </xdr:sp>
      </mc:Choice>
      <mc:Fallback xmlns="">
        <xdr:sp macro="" textlink="">
          <xdr:nvSpPr>
            <xdr:cNvPr id="20" name="TextBox 19">
              <a:extLst>
                <a:ext uri="{FF2B5EF4-FFF2-40B4-BE49-F238E27FC236}">
                  <a16:creationId xmlns:a16="http://schemas.microsoft.com/office/drawing/2014/main" id="{FFFBA1B5-6394-4788-B020-91B9338FD1BE}"/>
                </a:ext>
              </a:extLst>
            </xdr:cNvPr>
            <xdr:cNvSpPr txBox="1"/>
          </xdr:nvSpPr>
          <xdr:spPr>
            <a:xfrm>
              <a:off x="18967450" y="5721350"/>
              <a:ext cx="7345664" cy="430054"/>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t-EE" sz="1100" i="0">
                  <a:latin typeface="Cambria Math" panose="02040503050406030204" pitchFamily="18" charset="0"/>
                </a:rPr>
                <a:t>𝐹</a:t>
              </a:r>
              <a:r>
                <a:rPr lang="et-EE" sz="1100" i="0">
                  <a:solidFill>
                    <a:srgbClr val="836967"/>
                  </a:solidFill>
                  <a:latin typeface="Cambria Math" panose="02040503050406030204" pitchFamily="18" charset="0"/>
                </a:rPr>
                <a:t>_</a:t>
              </a:r>
              <a:r>
                <a:rPr lang="en-US" sz="1100" b="0" i="0">
                  <a:latin typeface="Cambria Math" panose="02040503050406030204" pitchFamily="18" charset="0"/>
                </a:rPr>
                <a:t>𝑝𝑔𝑟</a:t>
              </a:r>
              <a:r>
                <a:rPr lang="et-EE" sz="1100" i="0">
                  <a:latin typeface="Cambria Math" panose="02040503050406030204" pitchFamily="18" charset="0"/>
                </a:rPr>
                <a:t>=∑129</a:t>
              </a:r>
              <a:r>
                <a:rPr lang="en-US" sz="1100" b="0" i="0">
                  <a:latin typeface="Cambria Math" panose="02040503050406030204" pitchFamily="18" charset="0"/>
                </a:rPr>
                <a:t>_𝑝𝑔𝑟▒</a:t>
              </a:r>
              <a:r>
                <a:rPr lang="et-EE" sz="1100" b="0" i="0">
                  <a:latin typeface="Cambria Math" panose="02040503050406030204" pitchFamily="18" charset="0"/>
                </a:rPr>
                <a:t>〖</a:t>
              </a:r>
              <a:r>
                <a:rPr lang="en-US" sz="1100" b="0" i="0">
                  <a:latin typeface="Cambria Math" panose="02040503050406030204" pitchFamily="18" charset="0"/>
                </a:rPr>
                <a:t>{𝐴𝑟𝑒𝑎 (𝑝𝑔𝑟)∗[𝐶𝑟𝑜𝑝 (𝑝𝑔𝑟)∗𝑁 𝑎𝑔 (𝑝𝑔𝑟)∗(1−𝐹𝑟𝑎𝑐 𝑟𝑒𝑚𝑜𝑣𝑒 (𝑝𝑔𝑟))]+[𝐶𝑟𝑜𝑝 (𝑝𝑔𝑟)∗𝑅𝑆 (𝑝𝑔𝑟)∗𝑁 𝑏𝑔 (𝑝𝑔𝑟)]}</a:t>
              </a:r>
              <a:r>
                <a:rPr lang="et-EE" sz="1100" b="0" i="0">
                  <a:latin typeface="Cambria Math" panose="02040503050406030204" pitchFamily="18" charset="0"/>
                </a:rPr>
                <a:t>〗</a:t>
              </a:r>
              <a:endParaRPr lang="et-EE"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44</xdr:row>
      <xdr:rowOff>91440</xdr:rowOff>
    </xdr:from>
    <xdr:to>
      <xdr:col>6</xdr:col>
      <xdr:colOff>7620</xdr:colOff>
      <xdr:row>44</xdr:row>
      <xdr:rowOff>91440</xdr:rowOff>
    </xdr:to>
    <xdr:cxnSp macro="">
      <xdr:nvCxnSpPr>
        <xdr:cNvPr id="2" name="Straight Arrow Connector 1">
          <a:extLst>
            <a:ext uri="{FF2B5EF4-FFF2-40B4-BE49-F238E27FC236}">
              <a16:creationId xmlns:a16="http://schemas.microsoft.com/office/drawing/2014/main" id="{F881C385-2EFB-4475-B1DC-E7FF62A22122}"/>
            </a:ext>
          </a:extLst>
        </xdr:cNvPr>
        <xdr:cNvCxnSpPr/>
      </xdr:nvCxnSpPr>
      <xdr:spPr>
        <a:xfrm>
          <a:off x="2362200" y="8787765"/>
          <a:ext cx="118872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7620</xdr:colOff>
      <xdr:row>40</xdr:row>
      <xdr:rowOff>85725</xdr:rowOff>
    </xdr:from>
    <xdr:to>
      <xdr:col>9</xdr:col>
      <xdr:colOff>923925</xdr:colOff>
      <xdr:row>44</xdr:row>
      <xdr:rowOff>68580</xdr:rowOff>
    </xdr:to>
    <xdr:cxnSp macro="">
      <xdr:nvCxnSpPr>
        <xdr:cNvPr id="71" name="Straight Arrow Connector 2">
          <a:extLst>
            <a:ext uri="{FF2B5EF4-FFF2-40B4-BE49-F238E27FC236}">
              <a16:creationId xmlns:a16="http://schemas.microsoft.com/office/drawing/2014/main" id="{9D112780-6DFC-4F44-8F09-D13C730D9E7E}"/>
            </a:ext>
          </a:extLst>
        </xdr:cNvPr>
        <xdr:cNvCxnSpPr/>
      </xdr:nvCxnSpPr>
      <xdr:spPr>
        <a:xfrm flipV="1">
          <a:off x="4732020" y="7991475"/>
          <a:ext cx="1506855" cy="7734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7620</xdr:colOff>
      <xdr:row>43</xdr:row>
      <xdr:rowOff>106680</xdr:rowOff>
    </xdr:from>
    <xdr:to>
      <xdr:col>10</xdr:col>
      <xdr:colOff>15240</xdr:colOff>
      <xdr:row>44</xdr:row>
      <xdr:rowOff>76200</xdr:rowOff>
    </xdr:to>
    <xdr:cxnSp macro="">
      <xdr:nvCxnSpPr>
        <xdr:cNvPr id="4" name="Straight Arrow Connector 3">
          <a:extLst>
            <a:ext uri="{FF2B5EF4-FFF2-40B4-BE49-F238E27FC236}">
              <a16:creationId xmlns:a16="http://schemas.microsoft.com/office/drawing/2014/main" id="{E588BD23-BC8B-4AF1-BEA9-A12BA000F5D6}"/>
            </a:ext>
          </a:extLst>
        </xdr:cNvPr>
        <xdr:cNvCxnSpPr/>
      </xdr:nvCxnSpPr>
      <xdr:spPr>
        <a:xfrm flipV="1">
          <a:off x="4732020" y="8602980"/>
          <a:ext cx="1188720" cy="1695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44</xdr:row>
      <xdr:rowOff>76200</xdr:rowOff>
    </xdr:from>
    <xdr:to>
      <xdr:col>10</xdr:col>
      <xdr:colOff>0</xdr:colOff>
      <xdr:row>46</xdr:row>
      <xdr:rowOff>91440</xdr:rowOff>
    </xdr:to>
    <xdr:cxnSp macro="">
      <xdr:nvCxnSpPr>
        <xdr:cNvPr id="5" name="Straight Arrow Connector 4">
          <a:extLst>
            <a:ext uri="{FF2B5EF4-FFF2-40B4-BE49-F238E27FC236}">
              <a16:creationId xmlns:a16="http://schemas.microsoft.com/office/drawing/2014/main" id="{77EE27E4-8C46-4408-9959-0E133D0D1017}"/>
            </a:ext>
          </a:extLst>
        </xdr:cNvPr>
        <xdr:cNvCxnSpPr/>
      </xdr:nvCxnSpPr>
      <xdr:spPr>
        <a:xfrm>
          <a:off x="4724400" y="8772525"/>
          <a:ext cx="1181100" cy="4152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44</xdr:row>
      <xdr:rowOff>91440</xdr:rowOff>
    </xdr:from>
    <xdr:to>
      <xdr:col>10</xdr:col>
      <xdr:colOff>0</xdr:colOff>
      <xdr:row>50</xdr:row>
      <xdr:rowOff>83820</xdr:rowOff>
    </xdr:to>
    <xdr:cxnSp macro="">
      <xdr:nvCxnSpPr>
        <xdr:cNvPr id="6" name="Straight Arrow Connector 5">
          <a:extLst>
            <a:ext uri="{FF2B5EF4-FFF2-40B4-BE49-F238E27FC236}">
              <a16:creationId xmlns:a16="http://schemas.microsoft.com/office/drawing/2014/main" id="{4996F9D7-1F5B-42EE-B491-965E891781D4}"/>
            </a:ext>
          </a:extLst>
        </xdr:cNvPr>
        <xdr:cNvCxnSpPr/>
      </xdr:nvCxnSpPr>
      <xdr:spPr>
        <a:xfrm>
          <a:off x="2362200" y="8787765"/>
          <a:ext cx="3543300" cy="11734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7620</xdr:colOff>
      <xdr:row>40</xdr:row>
      <xdr:rowOff>114300</xdr:rowOff>
    </xdr:from>
    <xdr:to>
      <xdr:col>13</xdr:col>
      <xdr:colOff>594360</xdr:colOff>
      <xdr:row>40</xdr:row>
      <xdr:rowOff>121920</xdr:rowOff>
    </xdr:to>
    <xdr:cxnSp macro="">
      <xdr:nvCxnSpPr>
        <xdr:cNvPr id="7" name="Straight Arrow Connector 6">
          <a:extLst>
            <a:ext uri="{FF2B5EF4-FFF2-40B4-BE49-F238E27FC236}">
              <a16:creationId xmlns:a16="http://schemas.microsoft.com/office/drawing/2014/main" id="{AAD00A4F-BE04-49D4-9C7F-CA3D5E1B0CFC}"/>
            </a:ext>
          </a:extLst>
        </xdr:cNvPr>
        <xdr:cNvCxnSpPr/>
      </xdr:nvCxnSpPr>
      <xdr:spPr>
        <a:xfrm flipV="1">
          <a:off x="7684770" y="8020050"/>
          <a:ext cx="586740" cy="76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601980</xdr:colOff>
      <xdr:row>43</xdr:row>
      <xdr:rowOff>121920</xdr:rowOff>
    </xdr:from>
    <xdr:to>
      <xdr:col>13</xdr:col>
      <xdr:colOff>601980</xdr:colOff>
      <xdr:row>43</xdr:row>
      <xdr:rowOff>121920</xdr:rowOff>
    </xdr:to>
    <xdr:cxnSp macro="">
      <xdr:nvCxnSpPr>
        <xdr:cNvPr id="8" name="Straight Arrow Connector 7">
          <a:extLst>
            <a:ext uri="{FF2B5EF4-FFF2-40B4-BE49-F238E27FC236}">
              <a16:creationId xmlns:a16="http://schemas.microsoft.com/office/drawing/2014/main" id="{BF1DA813-189F-4CFF-9AD6-AD6BA7E70077}"/>
            </a:ext>
          </a:extLst>
        </xdr:cNvPr>
        <xdr:cNvCxnSpPr/>
      </xdr:nvCxnSpPr>
      <xdr:spPr>
        <a:xfrm>
          <a:off x="7679055" y="8618220"/>
          <a:ext cx="5905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243840</xdr:colOff>
      <xdr:row>41</xdr:row>
      <xdr:rowOff>0</xdr:rowOff>
    </xdr:from>
    <xdr:to>
      <xdr:col>11</xdr:col>
      <xdr:colOff>243840</xdr:colOff>
      <xdr:row>42</xdr:row>
      <xdr:rowOff>175260</xdr:rowOff>
    </xdr:to>
    <xdr:cxnSp macro="">
      <xdr:nvCxnSpPr>
        <xdr:cNvPr id="9" name="Straight Arrow Connector 8">
          <a:extLst>
            <a:ext uri="{FF2B5EF4-FFF2-40B4-BE49-F238E27FC236}">
              <a16:creationId xmlns:a16="http://schemas.microsoft.com/office/drawing/2014/main" id="{F506F041-E528-4A95-AD02-19676E44C350}"/>
            </a:ext>
          </a:extLst>
        </xdr:cNvPr>
        <xdr:cNvCxnSpPr/>
      </xdr:nvCxnSpPr>
      <xdr:spPr>
        <a:xfrm>
          <a:off x="6739890" y="8105775"/>
          <a:ext cx="0" cy="3657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64</xdr:row>
      <xdr:rowOff>91440</xdr:rowOff>
    </xdr:from>
    <xdr:to>
      <xdr:col>6</xdr:col>
      <xdr:colOff>7620</xdr:colOff>
      <xdr:row>64</xdr:row>
      <xdr:rowOff>91440</xdr:rowOff>
    </xdr:to>
    <xdr:cxnSp macro="">
      <xdr:nvCxnSpPr>
        <xdr:cNvPr id="10" name="Straight Arrow Connector 9">
          <a:extLst>
            <a:ext uri="{FF2B5EF4-FFF2-40B4-BE49-F238E27FC236}">
              <a16:creationId xmlns:a16="http://schemas.microsoft.com/office/drawing/2014/main" id="{82AEDFC6-29EB-4AA2-ACAC-6974528632E4}"/>
            </a:ext>
          </a:extLst>
        </xdr:cNvPr>
        <xdr:cNvCxnSpPr/>
      </xdr:nvCxnSpPr>
      <xdr:spPr>
        <a:xfrm>
          <a:off x="2362200" y="12721590"/>
          <a:ext cx="118872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7620</xdr:colOff>
      <xdr:row>60</xdr:row>
      <xdr:rowOff>76200</xdr:rowOff>
    </xdr:from>
    <xdr:to>
      <xdr:col>10</xdr:col>
      <xdr:colOff>19050</xdr:colOff>
      <xdr:row>64</xdr:row>
      <xdr:rowOff>68580</xdr:rowOff>
    </xdr:to>
    <xdr:cxnSp macro="">
      <xdr:nvCxnSpPr>
        <xdr:cNvPr id="72" name="Straight Arrow Connector 10">
          <a:extLst>
            <a:ext uri="{FF2B5EF4-FFF2-40B4-BE49-F238E27FC236}">
              <a16:creationId xmlns:a16="http://schemas.microsoft.com/office/drawing/2014/main" id="{5D3DEDC7-CB1B-4240-832F-5C41D60470E7}"/>
            </a:ext>
          </a:extLst>
        </xdr:cNvPr>
        <xdr:cNvCxnSpPr/>
      </xdr:nvCxnSpPr>
      <xdr:spPr>
        <a:xfrm flipV="1">
          <a:off x="4732020" y="11915775"/>
          <a:ext cx="1544955" cy="7829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7620</xdr:colOff>
      <xdr:row>63</xdr:row>
      <xdr:rowOff>106680</xdr:rowOff>
    </xdr:from>
    <xdr:to>
      <xdr:col>10</xdr:col>
      <xdr:colOff>15240</xdr:colOff>
      <xdr:row>64</xdr:row>
      <xdr:rowOff>76200</xdr:rowOff>
    </xdr:to>
    <xdr:cxnSp macro="">
      <xdr:nvCxnSpPr>
        <xdr:cNvPr id="12" name="Straight Arrow Connector 11">
          <a:extLst>
            <a:ext uri="{FF2B5EF4-FFF2-40B4-BE49-F238E27FC236}">
              <a16:creationId xmlns:a16="http://schemas.microsoft.com/office/drawing/2014/main" id="{AB370276-F62D-429E-A529-4D88F7EC48E0}"/>
            </a:ext>
          </a:extLst>
        </xdr:cNvPr>
        <xdr:cNvCxnSpPr/>
      </xdr:nvCxnSpPr>
      <xdr:spPr>
        <a:xfrm flipV="1">
          <a:off x="4732020" y="12536805"/>
          <a:ext cx="1188720" cy="1695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64</xdr:row>
      <xdr:rowOff>76200</xdr:rowOff>
    </xdr:from>
    <xdr:to>
      <xdr:col>10</xdr:col>
      <xdr:colOff>0</xdr:colOff>
      <xdr:row>66</xdr:row>
      <xdr:rowOff>91440</xdr:rowOff>
    </xdr:to>
    <xdr:cxnSp macro="">
      <xdr:nvCxnSpPr>
        <xdr:cNvPr id="13" name="Straight Arrow Connector 12">
          <a:extLst>
            <a:ext uri="{FF2B5EF4-FFF2-40B4-BE49-F238E27FC236}">
              <a16:creationId xmlns:a16="http://schemas.microsoft.com/office/drawing/2014/main" id="{2C980F93-2EF6-45ED-BC5D-A4B2F91723BB}"/>
            </a:ext>
          </a:extLst>
        </xdr:cNvPr>
        <xdr:cNvCxnSpPr/>
      </xdr:nvCxnSpPr>
      <xdr:spPr>
        <a:xfrm>
          <a:off x="4724400" y="12706350"/>
          <a:ext cx="1181100" cy="4152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64</xdr:row>
      <xdr:rowOff>95250</xdr:rowOff>
    </xdr:from>
    <xdr:to>
      <xdr:col>9</xdr:col>
      <xdr:colOff>600075</xdr:colOff>
      <xdr:row>69</xdr:row>
      <xdr:rowOff>76200</xdr:rowOff>
    </xdr:to>
    <xdr:cxnSp macro="">
      <xdr:nvCxnSpPr>
        <xdr:cNvPr id="14" name="Straight Arrow Connector 13">
          <a:extLst>
            <a:ext uri="{FF2B5EF4-FFF2-40B4-BE49-F238E27FC236}">
              <a16:creationId xmlns:a16="http://schemas.microsoft.com/office/drawing/2014/main" id="{E4074341-05A0-439A-8421-61C89EAEA97E}"/>
            </a:ext>
          </a:extLst>
        </xdr:cNvPr>
        <xdr:cNvCxnSpPr/>
      </xdr:nvCxnSpPr>
      <xdr:spPr>
        <a:xfrm>
          <a:off x="2362200" y="12725400"/>
          <a:ext cx="3543300" cy="9715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7620</xdr:colOff>
      <xdr:row>60</xdr:row>
      <xdr:rowOff>114300</xdr:rowOff>
    </xdr:from>
    <xdr:to>
      <xdr:col>13</xdr:col>
      <xdr:colOff>594360</xdr:colOff>
      <xdr:row>60</xdr:row>
      <xdr:rowOff>121920</xdr:rowOff>
    </xdr:to>
    <xdr:cxnSp macro="">
      <xdr:nvCxnSpPr>
        <xdr:cNvPr id="15" name="Straight Arrow Connector 14">
          <a:extLst>
            <a:ext uri="{FF2B5EF4-FFF2-40B4-BE49-F238E27FC236}">
              <a16:creationId xmlns:a16="http://schemas.microsoft.com/office/drawing/2014/main" id="{3F80729D-7ABC-4602-B9B1-DEA41470B7A5}"/>
            </a:ext>
          </a:extLst>
        </xdr:cNvPr>
        <xdr:cNvCxnSpPr/>
      </xdr:nvCxnSpPr>
      <xdr:spPr>
        <a:xfrm flipV="1">
          <a:off x="7684770" y="11953875"/>
          <a:ext cx="586740" cy="76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601980</xdr:colOff>
      <xdr:row>63</xdr:row>
      <xdr:rowOff>121920</xdr:rowOff>
    </xdr:from>
    <xdr:to>
      <xdr:col>13</xdr:col>
      <xdr:colOff>601980</xdr:colOff>
      <xdr:row>63</xdr:row>
      <xdr:rowOff>121920</xdr:rowOff>
    </xdr:to>
    <xdr:cxnSp macro="">
      <xdr:nvCxnSpPr>
        <xdr:cNvPr id="16" name="Straight Arrow Connector 15">
          <a:extLst>
            <a:ext uri="{FF2B5EF4-FFF2-40B4-BE49-F238E27FC236}">
              <a16:creationId xmlns:a16="http://schemas.microsoft.com/office/drawing/2014/main" id="{9F143699-A5C7-4A30-8BBE-8C562C55F519}"/>
            </a:ext>
          </a:extLst>
        </xdr:cNvPr>
        <xdr:cNvCxnSpPr/>
      </xdr:nvCxnSpPr>
      <xdr:spPr>
        <a:xfrm>
          <a:off x="7679055" y="12552045"/>
          <a:ext cx="5905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243840</xdr:colOff>
      <xdr:row>61</xdr:row>
      <xdr:rowOff>0</xdr:rowOff>
    </xdr:from>
    <xdr:to>
      <xdr:col>11</xdr:col>
      <xdr:colOff>243840</xdr:colOff>
      <xdr:row>62</xdr:row>
      <xdr:rowOff>175260</xdr:rowOff>
    </xdr:to>
    <xdr:cxnSp macro="">
      <xdr:nvCxnSpPr>
        <xdr:cNvPr id="17" name="Straight Arrow Connector 16">
          <a:extLst>
            <a:ext uri="{FF2B5EF4-FFF2-40B4-BE49-F238E27FC236}">
              <a16:creationId xmlns:a16="http://schemas.microsoft.com/office/drawing/2014/main" id="{FD20B135-7908-49C4-9CFE-CF317ACDD9D3}"/>
            </a:ext>
          </a:extLst>
        </xdr:cNvPr>
        <xdr:cNvCxnSpPr/>
      </xdr:nvCxnSpPr>
      <xdr:spPr>
        <a:xfrm>
          <a:off x="6739890" y="12039600"/>
          <a:ext cx="0" cy="3657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582930</xdr:colOff>
      <xdr:row>64</xdr:row>
      <xdr:rowOff>91440</xdr:rowOff>
    </xdr:from>
    <xdr:to>
      <xdr:col>9</xdr:col>
      <xdr:colOff>600075</xdr:colOff>
      <xdr:row>72</xdr:row>
      <xdr:rowOff>104775</xdr:rowOff>
    </xdr:to>
    <xdr:cxnSp macro="">
      <xdr:nvCxnSpPr>
        <xdr:cNvPr id="18" name="Straight Arrow Connector 17">
          <a:extLst>
            <a:ext uri="{FF2B5EF4-FFF2-40B4-BE49-F238E27FC236}">
              <a16:creationId xmlns:a16="http://schemas.microsoft.com/office/drawing/2014/main" id="{8D6836A3-6648-4AE8-A5B3-BF52943046C3}"/>
            </a:ext>
          </a:extLst>
        </xdr:cNvPr>
        <xdr:cNvCxnSpPr/>
      </xdr:nvCxnSpPr>
      <xdr:spPr>
        <a:xfrm>
          <a:off x="2354580" y="12721590"/>
          <a:ext cx="3550920" cy="15944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84</xdr:row>
      <xdr:rowOff>91440</xdr:rowOff>
    </xdr:from>
    <xdr:to>
      <xdr:col>6</xdr:col>
      <xdr:colOff>7620</xdr:colOff>
      <xdr:row>84</xdr:row>
      <xdr:rowOff>91440</xdr:rowOff>
    </xdr:to>
    <xdr:cxnSp macro="">
      <xdr:nvCxnSpPr>
        <xdr:cNvPr id="19" name="Straight Arrow Connector 18">
          <a:extLst>
            <a:ext uri="{FF2B5EF4-FFF2-40B4-BE49-F238E27FC236}">
              <a16:creationId xmlns:a16="http://schemas.microsoft.com/office/drawing/2014/main" id="{2A753EEF-CFDC-48B1-8BCE-FA80A61033DB}"/>
            </a:ext>
          </a:extLst>
        </xdr:cNvPr>
        <xdr:cNvCxnSpPr/>
      </xdr:nvCxnSpPr>
      <xdr:spPr>
        <a:xfrm>
          <a:off x="2362200" y="16655415"/>
          <a:ext cx="118872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7620</xdr:colOff>
      <xdr:row>83</xdr:row>
      <xdr:rowOff>106680</xdr:rowOff>
    </xdr:from>
    <xdr:to>
      <xdr:col>10</xdr:col>
      <xdr:colOff>15240</xdr:colOff>
      <xdr:row>84</xdr:row>
      <xdr:rowOff>76200</xdr:rowOff>
    </xdr:to>
    <xdr:cxnSp macro="">
      <xdr:nvCxnSpPr>
        <xdr:cNvPr id="20" name="Straight Arrow Connector 19">
          <a:extLst>
            <a:ext uri="{FF2B5EF4-FFF2-40B4-BE49-F238E27FC236}">
              <a16:creationId xmlns:a16="http://schemas.microsoft.com/office/drawing/2014/main" id="{F8742CBB-54C8-4D6E-877F-9974E0AAAC21}"/>
            </a:ext>
          </a:extLst>
        </xdr:cNvPr>
        <xdr:cNvCxnSpPr/>
      </xdr:nvCxnSpPr>
      <xdr:spPr>
        <a:xfrm flipV="1">
          <a:off x="4732020" y="16470630"/>
          <a:ext cx="1188720" cy="1695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84</xdr:row>
      <xdr:rowOff>85725</xdr:rowOff>
    </xdr:from>
    <xdr:to>
      <xdr:col>10</xdr:col>
      <xdr:colOff>0</xdr:colOff>
      <xdr:row>86</xdr:row>
      <xdr:rowOff>104775</xdr:rowOff>
    </xdr:to>
    <xdr:cxnSp macro="">
      <xdr:nvCxnSpPr>
        <xdr:cNvPr id="21" name="Straight Arrow Connector 20">
          <a:extLst>
            <a:ext uri="{FF2B5EF4-FFF2-40B4-BE49-F238E27FC236}">
              <a16:creationId xmlns:a16="http://schemas.microsoft.com/office/drawing/2014/main" id="{6201696D-ADED-4B08-8AF0-F528C052508B}"/>
            </a:ext>
          </a:extLst>
        </xdr:cNvPr>
        <xdr:cNvCxnSpPr/>
      </xdr:nvCxnSpPr>
      <xdr:spPr>
        <a:xfrm>
          <a:off x="4724400" y="16649700"/>
          <a:ext cx="1181100" cy="4191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84</xdr:row>
      <xdr:rowOff>95250</xdr:rowOff>
    </xdr:from>
    <xdr:to>
      <xdr:col>5</xdr:col>
      <xdr:colOff>561975</xdr:colOff>
      <xdr:row>88</xdr:row>
      <xdr:rowOff>104775</xdr:rowOff>
    </xdr:to>
    <xdr:cxnSp macro="">
      <xdr:nvCxnSpPr>
        <xdr:cNvPr id="22" name="Straight Arrow Connector 21">
          <a:extLst>
            <a:ext uri="{FF2B5EF4-FFF2-40B4-BE49-F238E27FC236}">
              <a16:creationId xmlns:a16="http://schemas.microsoft.com/office/drawing/2014/main" id="{5AAB908D-D526-460E-BADA-BE40D6AD4C4B}"/>
            </a:ext>
          </a:extLst>
        </xdr:cNvPr>
        <xdr:cNvCxnSpPr/>
      </xdr:nvCxnSpPr>
      <xdr:spPr>
        <a:xfrm>
          <a:off x="2362200" y="16659225"/>
          <a:ext cx="1152525" cy="8096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601980</xdr:colOff>
      <xdr:row>83</xdr:row>
      <xdr:rowOff>121920</xdr:rowOff>
    </xdr:from>
    <xdr:to>
      <xdr:col>13</xdr:col>
      <xdr:colOff>601980</xdr:colOff>
      <xdr:row>83</xdr:row>
      <xdr:rowOff>121920</xdr:rowOff>
    </xdr:to>
    <xdr:cxnSp macro="">
      <xdr:nvCxnSpPr>
        <xdr:cNvPr id="23" name="Straight Arrow Connector 22">
          <a:extLst>
            <a:ext uri="{FF2B5EF4-FFF2-40B4-BE49-F238E27FC236}">
              <a16:creationId xmlns:a16="http://schemas.microsoft.com/office/drawing/2014/main" id="{DA4C6370-61AC-400E-B265-FC14E47269D0}"/>
            </a:ext>
          </a:extLst>
        </xdr:cNvPr>
        <xdr:cNvCxnSpPr/>
      </xdr:nvCxnSpPr>
      <xdr:spPr>
        <a:xfrm>
          <a:off x="7679055" y="16485870"/>
          <a:ext cx="5905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44</xdr:row>
      <xdr:rowOff>76200</xdr:rowOff>
    </xdr:from>
    <xdr:to>
      <xdr:col>10</xdr:col>
      <xdr:colOff>0</xdr:colOff>
      <xdr:row>46</xdr:row>
      <xdr:rowOff>85725</xdr:rowOff>
    </xdr:to>
    <xdr:cxnSp macro="">
      <xdr:nvCxnSpPr>
        <xdr:cNvPr id="24" name="Straight Arrow Connector 23">
          <a:extLst>
            <a:ext uri="{FF2B5EF4-FFF2-40B4-BE49-F238E27FC236}">
              <a16:creationId xmlns:a16="http://schemas.microsoft.com/office/drawing/2014/main" id="{EBBE0E8D-955F-46E4-855D-4519EB69C802}"/>
            </a:ext>
          </a:extLst>
        </xdr:cNvPr>
        <xdr:cNvCxnSpPr/>
      </xdr:nvCxnSpPr>
      <xdr:spPr>
        <a:xfrm>
          <a:off x="4724400" y="8772525"/>
          <a:ext cx="1181100" cy="409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44</xdr:row>
      <xdr:rowOff>76200</xdr:rowOff>
    </xdr:from>
    <xdr:to>
      <xdr:col>10</xdr:col>
      <xdr:colOff>0</xdr:colOff>
      <xdr:row>46</xdr:row>
      <xdr:rowOff>85725</xdr:rowOff>
    </xdr:to>
    <xdr:cxnSp macro="">
      <xdr:nvCxnSpPr>
        <xdr:cNvPr id="25" name="Straight Arrow Connector 24">
          <a:extLst>
            <a:ext uri="{FF2B5EF4-FFF2-40B4-BE49-F238E27FC236}">
              <a16:creationId xmlns:a16="http://schemas.microsoft.com/office/drawing/2014/main" id="{2A3005FB-A699-41AF-8A48-D60432E6DFDE}"/>
            </a:ext>
          </a:extLst>
        </xdr:cNvPr>
        <xdr:cNvCxnSpPr/>
      </xdr:nvCxnSpPr>
      <xdr:spPr>
        <a:xfrm>
          <a:off x="4724400" y="8772525"/>
          <a:ext cx="1181100" cy="409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588645</xdr:colOff>
      <xdr:row>88</xdr:row>
      <xdr:rowOff>76200</xdr:rowOff>
    </xdr:from>
    <xdr:to>
      <xdr:col>9</xdr:col>
      <xdr:colOff>933450</xdr:colOff>
      <xdr:row>88</xdr:row>
      <xdr:rowOff>85725</xdr:rowOff>
    </xdr:to>
    <xdr:cxnSp macro="">
      <xdr:nvCxnSpPr>
        <xdr:cNvPr id="73" name="Straight Arrow Connector 25">
          <a:extLst>
            <a:ext uri="{FF2B5EF4-FFF2-40B4-BE49-F238E27FC236}">
              <a16:creationId xmlns:a16="http://schemas.microsoft.com/office/drawing/2014/main" id="{90FFBAFB-E9D5-44AF-BF71-E9464FB6FB4F}"/>
            </a:ext>
          </a:extLst>
        </xdr:cNvPr>
        <xdr:cNvCxnSpPr/>
      </xdr:nvCxnSpPr>
      <xdr:spPr>
        <a:xfrm>
          <a:off x="5313045" y="17440275"/>
          <a:ext cx="935355"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104</xdr:row>
      <xdr:rowOff>91440</xdr:rowOff>
    </xdr:from>
    <xdr:to>
      <xdr:col>6</xdr:col>
      <xdr:colOff>7620</xdr:colOff>
      <xdr:row>104</xdr:row>
      <xdr:rowOff>91440</xdr:rowOff>
    </xdr:to>
    <xdr:cxnSp macro="">
      <xdr:nvCxnSpPr>
        <xdr:cNvPr id="27" name="Straight Arrow Connector 26">
          <a:extLst>
            <a:ext uri="{FF2B5EF4-FFF2-40B4-BE49-F238E27FC236}">
              <a16:creationId xmlns:a16="http://schemas.microsoft.com/office/drawing/2014/main" id="{434E8E37-4339-4C9E-880A-D324F873BB7C}"/>
            </a:ext>
          </a:extLst>
        </xdr:cNvPr>
        <xdr:cNvCxnSpPr/>
      </xdr:nvCxnSpPr>
      <xdr:spPr>
        <a:xfrm>
          <a:off x="2362200" y="20589240"/>
          <a:ext cx="118872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7620</xdr:colOff>
      <xdr:row>100</xdr:row>
      <xdr:rowOff>57150</xdr:rowOff>
    </xdr:from>
    <xdr:to>
      <xdr:col>10</xdr:col>
      <xdr:colOff>0</xdr:colOff>
      <xdr:row>104</xdr:row>
      <xdr:rowOff>68580</xdr:rowOff>
    </xdr:to>
    <xdr:cxnSp macro="">
      <xdr:nvCxnSpPr>
        <xdr:cNvPr id="74" name="Straight Arrow Connector 27">
          <a:extLst>
            <a:ext uri="{FF2B5EF4-FFF2-40B4-BE49-F238E27FC236}">
              <a16:creationId xmlns:a16="http://schemas.microsoft.com/office/drawing/2014/main" id="{C6D3343B-7534-41DD-8C49-0943881B0A71}"/>
            </a:ext>
          </a:extLst>
        </xdr:cNvPr>
        <xdr:cNvCxnSpPr/>
      </xdr:nvCxnSpPr>
      <xdr:spPr>
        <a:xfrm flipV="1">
          <a:off x="4732020" y="19764375"/>
          <a:ext cx="1525905" cy="8020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7620</xdr:colOff>
      <xdr:row>103</xdr:row>
      <xdr:rowOff>106680</xdr:rowOff>
    </xdr:from>
    <xdr:to>
      <xdr:col>10</xdr:col>
      <xdr:colOff>15240</xdr:colOff>
      <xdr:row>104</xdr:row>
      <xdr:rowOff>76200</xdr:rowOff>
    </xdr:to>
    <xdr:cxnSp macro="">
      <xdr:nvCxnSpPr>
        <xdr:cNvPr id="29" name="Straight Arrow Connector 28">
          <a:extLst>
            <a:ext uri="{FF2B5EF4-FFF2-40B4-BE49-F238E27FC236}">
              <a16:creationId xmlns:a16="http://schemas.microsoft.com/office/drawing/2014/main" id="{113AF78C-24E5-4673-864F-02083A619036}"/>
            </a:ext>
          </a:extLst>
        </xdr:cNvPr>
        <xdr:cNvCxnSpPr/>
      </xdr:nvCxnSpPr>
      <xdr:spPr>
        <a:xfrm flipV="1">
          <a:off x="4732020" y="20404455"/>
          <a:ext cx="1188720" cy="1695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104</xdr:row>
      <xdr:rowOff>76200</xdr:rowOff>
    </xdr:from>
    <xdr:to>
      <xdr:col>10</xdr:col>
      <xdr:colOff>0</xdr:colOff>
      <xdr:row>106</xdr:row>
      <xdr:rowOff>91440</xdr:rowOff>
    </xdr:to>
    <xdr:cxnSp macro="">
      <xdr:nvCxnSpPr>
        <xdr:cNvPr id="30" name="Straight Arrow Connector 29">
          <a:extLst>
            <a:ext uri="{FF2B5EF4-FFF2-40B4-BE49-F238E27FC236}">
              <a16:creationId xmlns:a16="http://schemas.microsoft.com/office/drawing/2014/main" id="{16B91CAE-5B18-46D1-B5C3-42D719047595}"/>
            </a:ext>
          </a:extLst>
        </xdr:cNvPr>
        <xdr:cNvCxnSpPr/>
      </xdr:nvCxnSpPr>
      <xdr:spPr>
        <a:xfrm>
          <a:off x="4724400" y="20574000"/>
          <a:ext cx="1181100" cy="4152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104</xdr:row>
      <xdr:rowOff>95250</xdr:rowOff>
    </xdr:from>
    <xdr:to>
      <xdr:col>10</xdr:col>
      <xdr:colOff>28575</xdr:colOff>
      <xdr:row>109</xdr:row>
      <xdr:rowOff>95250</xdr:rowOff>
    </xdr:to>
    <xdr:cxnSp macro="">
      <xdr:nvCxnSpPr>
        <xdr:cNvPr id="75" name="Straight Arrow Connector 30">
          <a:extLst>
            <a:ext uri="{FF2B5EF4-FFF2-40B4-BE49-F238E27FC236}">
              <a16:creationId xmlns:a16="http://schemas.microsoft.com/office/drawing/2014/main" id="{0F382B1D-6FD6-4B5B-81BD-9C8E966ABB00}"/>
            </a:ext>
          </a:extLst>
        </xdr:cNvPr>
        <xdr:cNvCxnSpPr/>
      </xdr:nvCxnSpPr>
      <xdr:spPr>
        <a:xfrm>
          <a:off x="2362200" y="20593050"/>
          <a:ext cx="3924300" cy="990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7620</xdr:colOff>
      <xdr:row>100</xdr:row>
      <xdr:rowOff>114300</xdr:rowOff>
    </xdr:from>
    <xdr:to>
      <xdr:col>13</xdr:col>
      <xdr:colOff>594360</xdr:colOff>
      <xdr:row>100</xdr:row>
      <xdr:rowOff>121920</xdr:rowOff>
    </xdr:to>
    <xdr:cxnSp macro="">
      <xdr:nvCxnSpPr>
        <xdr:cNvPr id="32" name="Straight Arrow Connector 31">
          <a:extLst>
            <a:ext uri="{FF2B5EF4-FFF2-40B4-BE49-F238E27FC236}">
              <a16:creationId xmlns:a16="http://schemas.microsoft.com/office/drawing/2014/main" id="{E0DFCA5F-8F49-46BA-90CD-77605330CA7A}"/>
            </a:ext>
          </a:extLst>
        </xdr:cNvPr>
        <xdr:cNvCxnSpPr/>
      </xdr:nvCxnSpPr>
      <xdr:spPr>
        <a:xfrm flipV="1">
          <a:off x="7684770" y="19821525"/>
          <a:ext cx="586740" cy="76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601980</xdr:colOff>
      <xdr:row>103</xdr:row>
      <xdr:rowOff>121920</xdr:rowOff>
    </xdr:from>
    <xdr:to>
      <xdr:col>13</xdr:col>
      <xdr:colOff>601980</xdr:colOff>
      <xdr:row>103</xdr:row>
      <xdr:rowOff>121920</xdr:rowOff>
    </xdr:to>
    <xdr:cxnSp macro="">
      <xdr:nvCxnSpPr>
        <xdr:cNvPr id="33" name="Straight Arrow Connector 32">
          <a:extLst>
            <a:ext uri="{FF2B5EF4-FFF2-40B4-BE49-F238E27FC236}">
              <a16:creationId xmlns:a16="http://schemas.microsoft.com/office/drawing/2014/main" id="{8AD2CADA-A227-4EA6-90D3-AB7744AC78FD}"/>
            </a:ext>
          </a:extLst>
        </xdr:cNvPr>
        <xdr:cNvCxnSpPr/>
      </xdr:nvCxnSpPr>
      <xdr:spPr>
        <a:xfrm>
          <a:off x="7679055" y="20419695"/>
          <a:ext cx="5905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243840</xdr:colOff>
      <xdr:row>101</xdr:row>
      <xdr:rowOff>0</xdr:rowOff>
    </xdr:from>
    <xdr:to>
      <xdr:col>11</xdr:col>
      <xdr:colOff>243840</xdr:colOff>
      <xdr:row>102</xdr:row>
      <xdr:rowOff>175260</xdr:rowOff>
    </xdr:to>
    <xdr:cxnSp macro="">
      <xdr:nvCxnSpPr>
        <xdr:cNvPr id="34" name="Straight Arrow Connector 33">
          <a:extLst>
            <a:ext uri="{FF2B5EF4-FFF2-40B4-BE49-F238E27FC236}">
              <a16:creationId xmlns:a16="http://schemas.microsoft.com/office/drawing/2014/main" id="{E179CA93-670A-404B-AFE6-C26E41F636B7}"/>
            </a:ext>
          </a:extLst>
        </xdr:cNvPr>
        <xdr:cNvCxnSpPr/>
      </xdr:nvCxnSpPr>
      <xdr:spPr>
        <a:xfrm>
          <a:off x="6739890" y="19907250"/>
          <a:ext cx="0" cy="3657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582930</xdr:colOff>
      <xdr:row>104</xdr:row>
      <xdr:rowOff>91440</xdr:rowOff>
    </xdr:from>
    <xdr:to>
      <xdr:col>9</xdr:col>
      <xdr:colOff>914400</xdr:colOff>
      <xdr:row>112</xdr:row>
      <xdr:rowOff>76200</xdr:rowOff>
    </xdr:to>
    <xdr:cxnSp macro="">
      <xdr:nvCxnSpPr>
        <xdr:cNvPr id="76" name="Straight Arrow Connector 34">
          <a:extLst>
            <a:ext uri="{FF2B5EF4-FFF2-40B4-BE49-F238E27FC236}">
              <a16:creationId xmlns:a16="http://schemas.microsoft.com/office/drawing/2014/main" id="{3867221D-214F-4BEC-AFEA-0825E33D96FE}"/>
            </a:ext>
          </a:extLst>
        </xdr:cNvPr>
        <xdr:cNvCxnSpPr/>
      </xdr:nvCxnSpPr>
      <xdr:spPr>
        <a:xfrm>
          <a:off x="2354580" y="20589240"/>
          <a:ext cx="3874770" cy="15659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124</xdr:row>
      <xdr:rowOff>91440</xdr:rowOff>
    </xdr:from>
    <xdr:to>
      <xdr:col>6</xdr:col>
      <xdr:colOff>7620</xdr:colOff>
      <xdr:row>124</xdr:row>
      <xdr:rowOff>91440</xdr:rowOff>
    </xdr:to>
    <xdr:cxnSp macro="">
      <xdr:nvCxnSpPr>
        <xdr:cNvPr id="36" name="Straight Arrow Connector 35">
          <a:extLst>
            <a:ext uri="{FF2B5EF4-FFF2-40B4-BE49-F238E27FC236}">
              <a16:creationId xmlns:a16="http://schemas.microsoft.com/office/drawing/2014/main" id="{C26A21DD-C0B4-47ED-9E39-DACD74FC22E4}"/>
            </a:ext>
          </a:extLst>
        </xdr:cNvPr>
        <xdr:cNvCxnSpPr/>
      </xdr:nvCxnSpPr>
      <xdr:spPr>
        <a:xfrm>
          <a:off x="2362200" y="24523065"/>
          <a:ext cx="118872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7620</xdr:colOff>
      <xdr:row>123</xdr:row>
      <xdr:rowOff>106680</xdr:rowOff>
    </xdr:from>
    <xdr:to>
      <xdr:col>10</xdr:col>
      <xdr:colOff>15240</xdr:colOff>
      <xdr:row>124</xdr:row>
      <xdr:rowOff>76200</xdr:rowOff>
    </xdr:to>
    <xdr:cxnSp macro="">
      <xdr:nvCxnSpPr>
        <xdr:cNvPr id="37" name="Straight Arrow Connector 36">
          <a:extLst>
            <a:ext uri="{FF2B5EF4-FFF2-40B4-BE49-F238E27FC236}">
              <a16:creationId xmlns:a16="http://schemas.microsoft.com/office/drawing/2014/main" id="{760C63CF-D21E-4E46-8EA6-D926C2A8A579}"/>
            </a:ext>
          </a:extLst>
        </xdr:cNvPr>
        <xdr:cNvCxnSpPr/>
      </xdr:nvCxnSpPr>
      <xdr:spPr>
        <a:xfrm flipV="1">
          <a:off x="4732020" y="24338280"/>
          <a:ext cx="1188720" cy="1695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124</xdr:row>
      <xdr:rowOff>76200</xdr:rowOff>
    </xdr:from>
    <xdr:to>
      <xdr:col>10</xdr:col>
      <xdr:colOff>0</xdr:colOff>
      <xdr:row>126</xdr:row>
      <xdr:rowOff>91440</xdr:rowOff>
    </xdr:to>
    <xdr:cxnSp macro="">
      <xdr:nvCxnSpPr>
        <xdr:cNvPr id="38" name="Straight Arrow Connector 37">
          <a:extLst>
            <a:ext uri="{FF2B5EF4-FFF2-40B4-BE49-F238E27FC236}">
              <a16:creationId xmlns:a16="http://schemas.microsoft.com/office/drawing/2014/main" id="{5311D7E9-6485-4A73-8B8C-EB3E281345A5}"/>
            </a:ext>
          </a:extLst>
        </xdr:cNvPr>
        <xdr:cNvCxnSpPr/>
      </xdr:nvCxnSpPr>
      <xdr:spPr>
        <a:xfrm>
          <a:off x="4724400" y="24507825"/>
          <a:ext cx="1181100" cy="4152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124</xdr:row>
      <xdr:rowOff>95250</xdr:rowOff>
    </xdr:from>
    <xdr:to>
      <xdr:col>10</xdr:col>
      <xdr:colOff>0</xdr:colOff>
      <xdr:row>129</xdr:row>
      <xdr:rowOff>123825</xdr:rowOff>
    </xdr:to>
    <xdr:cxnSp macro="">
      <xdr:nvCxnSpPr>
        <xdr:cNvPr id="77" name="Straight Arrow Connector 38">
          <a:extLst>
            <a:ext uri="{FF2B5EF4-FFF2-40B4-BE49-F238E27FC236}">
              <a16:creationId xmlns:a16="http://schemas.microsoft.com/office/drawing/2014/main" id="{CE8D5189-86CF-4A7A-AB26-625DE544EBD2}"/>
            </a:ext>
          </a:extLst>
        </xdr:cNvPr>
        <xdr:cNvCxnSpPr/>
      </xdr:nvCxnSpPr>
      <xdr:spPr>
        <a:xfrm>
          <a:off x="2362200" y="24526875"/>
          <a:ext cx="3895725" cy="10191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601980</xdr:colOff>
      <xdr:row>123</xdr:row>
      <xdr:rowOff>121920</xdr:rowOff>
    </xdr:from>
    <xdr:to>
      <xdr:col>13</xdr:col>
      <xdr:colOff>601980</xdr:colOff>
      <xdr:row>123</xdr:row>
      <xdr:rowOff>121920</xdr:rowOff>
    </xdr:to>
    <xdr:cxnSp macro="">
      <xdr:nvCxnSpPr>
        <xdr:cNvPr id="40" name="Straight Arrow Connector 39">
          <a:extLst>
            <a:ext uri="{FF2B5EF4-FFF2-40B4-BE49-F238E27FC236}">
              <a16:creationId xmlns:a16="http://schemas.microsoft.com/office/drawing/2014/main" id="{2A4F98F1-1237-434E-88F5-817A261E0072}"/>
            </a:ext>
          </a:extLst>
        </xdr:cNvPr>
        <xdr:cNvCxnSpPr/>
      </xdr:nvCxnSpPr>
      <xdr:spPr>
        <a:xfrm>
          <a:off x="7679055" y="24353520"/>
          <a:ext cx="5905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582930</xdr:colOff>
      <xdr:row>124</xdr:row>
      <xdr:rowOff>91440</xdr:rowOff>
    </xdr:from>
    <xdr:to>
      <xdr:col>9</xdr:col>
      <xdr:colOff>923925</xdr:colOff>
      <xdr:row>132</xdr:row>
      <xdr:rowOff>66675</xdr:rowOff>
    </xdr:to>
    <xdr:cxnSp macro="">
      <xdr:nvCxnSpPr>
        <xdr:cNvPr id="79" name="Straight Arrow Connector 40">
          <a:extLst>
            <a:ext uri="{FF2B5EF4-FFF2-40B4-BE49-F238E27FC236}">
              <a16:creationId xmlns:a16="http://schemas.microsoft.com/office/drawing/2014/main" id="{36427019-4119-4E2B-A0B5-B0C487F79F05}"/>
            </a:ext>
          </a:extLst>
        </xdr:cNvPr>
        <xdr:cNvCxnSpPr/>
      </xdr:nvCxnSpPr>
      <xdr:spPr>
        <a:xfrm>
          <a:off x="2354580" y="24523065"/>
          <a:ext cx="3884295" cy="15563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5014</xdr:colOff>
      <xdr:row>3</xdr:row>
      <xdr:rowOff>82826</xdr:rowOff>
    </xdr:from>
    <xdr:to>
      <xdr:col>14</xdr:col>
      <xdr:colOff>16565</xdr:colOff>
      <xdr:row>5</xdr:row>
      <xdr:rowOff>85225</xdr:rowOff>
    </xdr:to>
    <xdr:cxnSp macro="">
      <xdr:nvCxnSpPr>
        <xdr:cNvPr id="42" name="Straight Arrow Connector 41">
          <a:extLst>
            <a:ext uri="{FF2B5EF4-FFF2-40B4-BE49-F238E27FC236}">
              <a16:creationId xmlns:a16="http://schemas.microsoft.com/office/drawing/2014/main" id="{90EEC2AF-85A6-4E91-8120-2701F85BCBDC}"/>
            </a:ext>
          </a:extLst>
        </xdr:cNvPr>
        <xdr:cNvCxnSpPr/>
      </xdr:nvCxnSpPr>
      <xdr:spPr>
        <a:xfrm flipV="1">
          <a:off x="4138864" y="682901"/>
          <a:ext cx="4145401" cy="402449"/>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7</xdr:col>
      <xdr:colOff>4577</xdr:colOff>
      <xdr:row>5</xdr:row>
      <xdr:rowOff>82826</xdr:rowOff>
    </xdr:from>
    <xdr:to>
      <xdr:col>14</xdr:col>
      <xdr:colOff>8282</xdr:colOff>
      <xdr:row>5</xdr:row>
      <xdr:rowOff>95252</xdr:rowOff>
    </xdr:to>
    <xdr:cxnSp macro="">
      <xdr:nvCxnSpPr>
        <xdr:cNvPr id="43" name="Straight Arrow Connector 42">
          <a:extLst>
            <a:ext uri="{FF2B5EF4-FFF2-40B4-BE49-F238E27FC236}">
              <a16:creationId xmlns:a16="http://schemas.microsoft.com/office/drawing/2014/main" id="{3CA1112F-1547-4302-8F8F-1BF39674729B}"/>
            </a:ext>
          </a:extLst>
        </xdr:cNvPr>
        <xdr:cNvCxnSpPr/>
      </xdr:nvCxnSpPr>
      <xdr:spPr>
        <a:xfrm flipV="1">
          <a:off x="4138427" y="1082951"/>
          <a:ext cx="4137555" cy="124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704066</xdr:colOff>
      <xdr:row>8</xdr:row>
      <xdr:rowOff>99391</xdr:rowOff>
    </xdr:from>
    <xdr:to>
      <xdr:col>10</xdr:col>
      <xdr:colOff>0</xdr:colOff>
      <xdr:row>8</xdr:row>
      <xdr:rowOff>105103</xdr:rowOff>
    </xdr:to>
    <xdr:cxnSp macro="">
      <xdr:nvCxnSpPr>
        <xdr:cNvPr id="44" name="Straight Arrow Connector 43">
          <a:extLst>
            <a:ext uri="{FF2B5EF4-FFF2-40B4-BE49-F238E27FC236}">
              <a16:creationId xmlns:a16="http://schemas.microsoft.com/office/drawing/2014/main" id="{2C316514-5FC8-4342-A426-865B3E0A552C}"/>
            </a:ext>
          </a:extLst>
        </xdr:cNvPr>
        <xdr:cNvCxnSpPr/>
      </xdr:nvCxnSpPr>
      <xdr:spPr>
        <a:xfrm flipV="1">
          <a:off x="4133066" y="1690066"/>
          <a:ext cx="1772434" cy="57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823335</xdr:colOff>
      <xdr:row>8</xdr:row>
      <xdr:rowOff>100134</xdr:rowOff>
    </xdr:from>
    <xdr:to>
      <xdr:col>14</xdr:col>
      <xdr:colOff>16565</xdr:colOff>
      <xdr:row>9</xdr:row>
      <xdr:rowOff>99391</xdr:rowOff>
    </xdr:to>
    <xdr:cxnSp macro="">
      <xdr:nvCxnSpPr>
        <xdr:cNvPr id="45" name="Straight Arrow Connector 44">
          <a:extLst>
            <a:ext uri="{FF2B5EF4-FFF2-40B4-BE49-F238E27FC236}">
              <a16:creationId xmlns:a16="http://schemas.microsoft.com/office/drawing/2014/main" id="{50906E5F-620B-4726-9F81-B79E248C0AA4}"/>
            </a:ext>
          </a:extLst>
        </xdr:cNvPr>
        <xdr:cNvCxnSpPr/>
      </xdr:nvCxnSpPr>
      <xdr:spPr>
        <a:xfrm>
          <a:off x="7090785" y="1690809"/>
          <a:ext cx="1193480" cy="1992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818365</xdr:colOff>
      <xdr:row>9</xdr:row>
      <xdr:rowOff>99391</xdr:rowOff>
    </xdr:from>
    <xdr:to>
      <xdr:col>14</xdr:col>
      <xdr:colOff>8282</xdr:colOff>
      <xdr:row>11</xdr:row>
      <xdr:rowOff>103448</xdr:rowOff>
    </xdr:to>
    <xdr:cxnSp macro="">
      <xdr:nvCxnSpPr>
        <xdr:cNvPr id="46" name="Straight Arrow Connector 45">
          <a:extLst>
            <a:ext uri="{FF2B5EF4-FFF2-40B4-BE49-F238E27FC236}">
              <a16:creationId xmlns:a16="http://schemas.microsoft.com/office/drawing/2014/main" id="{6A766A45-EACC-4AC4-8269-AA4FD6862DF5}"/>
            </a:ext>
          </a:extLst>
        </xdr:cNvPr>
        <xdr:cNvCxnSpPr/>
      </xdr:nvCxnSpPr>
      <xdr:spPr>
        <a:xfrm flipV="1">
          <a:off x="7085815" y="1890091"/>
          <a:ext cx="1190167" cy="40410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821678</xdr:colOff>
      <xdr:row>9</xdr:row>
      <xdr:rowOff>115956</xdr:rowOff>
    </xdr:from>
    <xdr:to>
      <xdr:col>14</xdr:col>
      <xdr:colOff>0</xdr:colOff>
      <xdr:row>14</xdr:row>
      <xdr:rowOff>106761</xdr:rowOff>
    </xdr:to>
    <xdr:cxnSp macro="">
      <xdr:nvCxnSpPr>
        <xdr:cNvPr id="47" name="Straight Arrow Connector 46">
          <a:extLst>
            <a:ext uri="{FF2B5EF4-FFF2-40B4-BE49-F238E27FC236}">
              <a16:creationId xmlns:a16="http://schemas.microsoft.com/office/drawing/2014/main" id="{A89CAE6F-2DF4-4882-8BDC-22BDF7BCA62F}"/>
            </a:ext>
          </a:extLst>
        </xdr:cNvPr>
        <xdr:cNvCxnSpPr/>
      </xdr:nvCxnSpPr>
      <xdr:spPr>
        <a:xfrm flipV="1">
          <a:off x="7089128" y="1906656"/>
          <a:ext cx="1178572" cy="9909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609644</xdr:colOff>
      <xdr:row>17</xdr:row>
      <xdr:rowOff>93511</xdr:rowOff>
    </xdr:from>
    <xdr:to>
      <xdr:col>13</xdr:col>
      <xdr:colOff>604631</xdr:colOff>
      <xdr:row>20</xdr:row>
      <xdr:rowOff>91109</xdr:rowOff>
    </xdr:to>
    <xdr:cxnSp macro="">
      <xdr:nvCxnSpPr>
        <xdr:cNvPr id="48" name="Straight Arrow Connector 47">
          <a:extLst>
            <a:ext uri="{FF2B5EF4-FFF2-40B4-BE49-F238E27FC236}">
              <a16:creationId xmlns:a16="http://schemas.microsoft.com/office/drawing/2014/main" id="{28FB7C32-1F03-485E-88ED-094B27540702}"/>
            </a:ext>
          </a:extLst>
        </xdr:cNvPr>
        <xdr:cNvCxnSpPr/>
      </xdr:nvCxnSpPr>
      <xdr:spPr>
        <a:xfrm>
          <a:off x="7677194" y="3474886"/>
          <a:ext cx="595062" cy="5881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603018</xdr:colOff>
      <xdr:row>5</xdr:row>
      <xdr:rowOff>95164</xdr:rowOff>
    </xdr:from>
    <xdr:to>
      <xdr:col>19</xdr:col>
      <xdr:colOff>8282</xdr:colOff>
      <xdr:row>12</xdr:row>
      <xdr:rowOff>74543</xdr:rowOff>
    </xdr:to>
    <xdr:cxnSp macro="">
      <xdr:nvCxnSpPr>
        <xdr:cNvPr id="49" name="Straight Arrow Connector 48">
          <a:extLst>
            <a:ext uri="{FF2B5EF4-FFF2-40B4-BE49-F238E27FC236}">
              <a16:creationId xmlns:a16="http://schemas.microsoft.com/office/drawing/2014/main" id="{A2F0FD19-25BC-4620-83BC-179B35FF64CA}"/>
            </a:ext>
          </a:extLst>
        </xdr:cNvPr>
        <xdr:cNvCxnSpPr/>
      </xdr:nvCxnSpPr>
      <xdr:spPr>
        <a:xfrm>
          <a:off x="9451743" y="1095289"/>
          <a:ext cx="1996064" cy="1370029"/>
        </a:xfrm>
        <a:prstGeom prst="straightConnector1">
          <a:avLst/>
        </a:prstGeom>
        <a:ln>
          <a:tailEnd type="triangle"/>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17</xdr:col>
      <xdr:colOff>8283</xdr:colOff>
      <xdr:row>9</xdr:row>
      <xdr:rowOff>99391</xdr:rowOff>
    </xdr:from>
    <xdr:to>
      <xdr:col>18</xdr:col>
      <xdr:colOff>604630</xdr:colOff>
      <xdr:row>12</xdr:row>
      <xdr:rowOff>74544</xdr:rowOff>
    </xdr:to>
    <xdr:cxnSp macro="">
      <xdr:nvCxnSpPr>
        <xdr:cNvPr id="50" name="Straight Arrow Connector 49">
          <a:extLst>
            <a:ext uri="{FF2B5EF4-FFF2-40B4-BE49-F238E27FC236}">
              <a16:creationId xmlns:a16="http://schemas.microsoft.com/office/drawing/2014/main" id="{469631B5-7744-430B-BA98-D71A18F8B1F3}"/>
            </a:ext>
          </a:extLst>
        </xdr:cNvPr>
        <xdr:cNvCxnSpPr/>
      </xdr:nvCxnSpPr>
      <xdr:spPr>
        <a:xfrm>
          <a:off x="10266708" y="1890091"/>
          <a:ext cx="1177372" cy="575228"/>
        </a:xfrm>
        <a:prstGeom prst="straightConnector1">
          <a:avLst/>
        </a:prstGeom>
        <a:ln>
          <a:tailEnd type="triangle"/>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17</xdr:col>
      <xdr:colOff>8282</xdr:colOff>
      <xdr:row>12</xdr:row>
      <xdr:rowOff>57978</xdr:rowOff>
    </xdr:from>
    <xdr:to>
      <xdr:col>19</xdr:col>
      <xdr:colOff>0</xdr:colOff>
      <xdr:row>20</xdr:row>
      <xdr:rowOff>107674</xdr:rowOff>
    </xdr:to>
    <xdr:cxnSp macro="">
      <xdr:nvCxnSpPr>
        <xdr:cNvPr id="51" name="Straight Arrow Connector 50">
          <a:extLst>
            <a:ext uri="{FF2B5EF4-FFF2-40B4-BE49-F238E27FC236}">
              <a16:creationId xmlns:a16="http://schemas.microsoft.com/office/drawing/2014/main" id="{DD4ECB01-803D-4A2C-9AAC-C80DABEB1B11}"/>
            </a:ext>
          </a:extLst>
        </xdr:cNvPr>
        <xdr:cNvCxnSpPr/>
      </xdr:nvCxnSpPr>
      <xdr:spPr>
        <a:xfrm flipV="1">
          <a:off x="10266707" y="2448753"/>
          <a:ext cx="1172818" cy="1630846"/>
        </a:xfrm>
        <a:prstGeom prst="straightConnector1">
          <a:avLst/>
        </a:prstGeom>
        <a:ln>
          <a:tailEnd type="triangle"/>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6</xdr:col>
      <xdr:colOff>704066</xdr:colOff>
      <xdr:row>20</xdr:row>
      <xdr:rowOff>121670</xdr:rowOff>
    </xdr:from>
    <xdr:to>
      <xdr:col>13</xdr:col>
      <xdr:colOff>604631</xdr:colOff>
      <xdr:row>25</xdr:row>
      <xdr:rowOff>99391</xdr:rowOff>
    </xdr:to>
    <xdr:cxnSp macro="">
      <xdr:nvCxnSpPr>
        <xdr:cNvPr id="52" name="Straight Arrow Connector 51">
          <a:extLst>
            <a:ext uri="{FF2B5EF4-FFF2-40B4-BE49-F238E27FC236}">
              <a16:creationId xmlns:a16="http://schemas.microsoft.com/office/drawing/2014/main" id="{B78E037A-7C86-4F3A-AD9E-4F75478BABBC}"/>
            </a:ext>
          </a:extLst>
        </xdr:cNvPr>
        <xdr:cNvCxnSpPr/>
      </xdr:nvCxnSpPr>
      <xdr:spPr>
        <a:xfrm>
          <a:off x="4133066" y="4093595"/>
          <a:ext cx="4139190" cy="968321"/>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6</xdr:col>
      <xdr:colOff>3357</xdr:colOff>
      <xdr:row>23</xdr:row>
      <xdr:rowOff>116702</xdr:rowOff>
    </xdr:from>
    <xdr:to>
      <xdr:col>14</xdr:col>
      <xdr:colOff>16565</xdr:colOff>
      <xdr:row>28</xdr:row>
      <xdr:rowOff>124239</xdr:rowOff>
    </xdr:to>
    <xdr:cxnSp macro="">
      <xdr:nvCxnSpPr>
        <xdr:cNvPr id="53" name="Straight Arrow Connector 52">
          <a:extLst>
            <a:ext uri="{FF2B5EF4-FFF2-40B4-BE49-F238E27FC236}">
              <a16:creationId xmlns:a16="http://schemas.microsoft.com/office/drawing/2014/main" id="{2CCDEF64-E5F9-4400-8277-2BC484B0E94C}"/>
            </a:ext>
          </a:extLst>
        </xdr:cNvPr>
        <xdr:cNvCxnSpPr/>
      </xdr:nvCxnSpPr>
      <xdr:spPr>
        <a:xfrm>
          <a:off x="3546657" y="4679177"/>
          <a:ext cx="4737608" cy="998137"/>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11</xdr:col>
      <xdr:colOff>826648</xdr:colOff>
      <xdr:row>8</xdr:row>
      <xdr:rowOff>111730</xdr:rowOff>
    </xdr:from>
    <xdr:to>
      <xdr:col>19</xdr:col>
      <xdr:colOff>8282</xdr:colOff>
      <xdr:row>17</xdr:row>
      <xdr:rowOff>91109</xdr:rowOff>
    </xdr:to>
    <xdr:cxnSp macro="">
      <xdr:nvCxnSpPr>
        <xdr:cNvPr id="54" name="Straight Arrow Connector 53">
          <a:extLst>
            <a:ext uri="{FF2B5EF4-FFF2-40B4-BE49-F238E27FC236}">
              <a16:creationId xmlns:a16="http://schemas.microsoft.com/office/drawing/2014/main" id="{E135868D-6A20-437A-95DF-64DA39BBEB09}"/>
            </a:ext>
          </a:extLst>
        </xdr:cNvPr>
        <xdr:cNvCxnSpPr/>
      </xdr:nvCxnSpPr>
      <xdr:spPr>
        <a:xfrm>
          <a:off x="7084573" y="1702405"/>
          <a:ext cx="4363234" cy="1770079"/>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9984</xdr:colOff>
      <xdr:row>11</xdr:row>
      <xdr:rowOff>106760</xdr:rowOff>
    </xdr:from>
    <xdr:to>
      <xdr:col>18</xdr:col>
      <xdr:colOff>604630</xdr:colOff>
      <xdr:row>17</xdr:row>
      <xdr:rowOff>82826</xdr:rowOff>
    </xdr:to>
    <xdr:cxnSp macro="">
      <xdr:nvCxnSpPr>
        <xdr:cNvPr id="55" name="Straight Arrow Connector 54">
          <a:extLst>
            <a:ext uri="{FF2B5EF4-FFF2-40B4-BE49-F238E27FC236}">
              <a16:creationId xmlns:a16="http://schemas.microsoft.com/office/drawing/2014/main" id="{C5723A5C-39A9-44DE-B682-77056444D6C5}"/>
            </a:ext>
          </a:extLst>
        </xdr:cNvPr>
        <xdr:cNvCxnSpPr/>
      </xdr:nvCxnSpPr>
      <xdr:spPr>
        <a:xfrm>
          <a:off x="7096584" y="2297510"/>
          <a:ext cx="4347496" cy="1166691"/>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612913</xdr:colOff>
      <xdr:row>17</xdr:row>
      <xdr:rowOff>82828</xdr:rowOff>
    </xdr:from>
    <xdr:to>
      <xdr:col>18</xdr:col>
      <xdr:colOff>596348</xdr:colOff>
      <xdr:row>17</xdr:row>
      <xdr:rowOff>140805</xdr:rowOff>
    </xdr:to>
    <xdr:cxnSp macro="">
      <xdr:nvCxnSpPr>
        <xdr:cNvPr id="56" name="Straight Arrow Connector 55">
          <a:extLst>
            <a:ext uri="{FF2B5EF4-FFF2-40B4-BE49-F238E27FC236}">
              <a16:creationId xmlns:a16="http://schemas.microsoft.com/office/drawing/2014/main" id="{286791FB-1B80-43D8-8767-AFD534974186}"/>
            </a:ext>
          </a:extLst>
        </xdr:cNvPr>
        <xdr:cNvCxnSpPr/>
      </xdr:nvCxnSpPr>
      <xdr:spPr>
        <a:xfrm flipV="1">
          <a:off x="7680463" y="3464203"/>
          <a:ext cx="3755335" cy="57977"/>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16566</xdr:colOff>
      <xdr:row>11</xdr:row>
      <xdr:rowOff>115957</xdr:rowOff>
    </xdr:from>
    <xdr:to>
      <xdr:col>18</xdr:col>
      <xdr:colOff>604630</xdr:colOff>
      <xdr:row>20</xdr:row>
      <xdr:rowOff>91108</xdr:rowOff>
    </xdr:to>
    <xdr:cxnSp macro="">
      <xdr:nvCxnSpPr>
        <xdr:cNvPr id="57" name="Straight Arrow Connector 56">
          <a:extLst>
            <a:ext uri="{FF2B5EF4-FFF2-40B4-BE49-F238E27FC236}">
              <a16:creationId xmlns:a16="http://schemas.microsoft.com/office/drawing/2014/main" id="{EBED15EA-8925-4D32-ADCF-84569BB3D3C9}"/>
            </a:ext>
          </a:extLst>
        </xdr:cNvPr>
        <xdr:cNvCxnSpPr/>
      </xdr:nvCxnSpPr>
      <xdr:spPr>
        <a:xfrm>
          <a:off x="7103166" y="2306707"/>
          <a:ext cx="4340914" cy="1756326"/>
        </a:xfrm>
        <a:prstGeom prst="straightConnector1">
          <a:avLst/>
        </a:prstGeom>
        <a:ln>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11</xdr:col>
      <xdr:colOff>819978</xdr:colOff>
      <xdr:row>8</xdr:row>
      <xdr:rowOff>107674</xdr:rowOff>
    </xdr:from>
    <xdr:to>
      <xdr:col>19</xdr:col>
      <xdr:colOff>0</xdr:colOff>
      <xdr:row>20</xdr:row>
      <xdr:rowOff>107673</xdr:rowOff>
    </xdr:to>
    <xdr:cxnSp macro="">
      <xdr:nvCxnSpPr>
        <xdr:cNvPr id="58" name="Straight Arrow Connector 57">
          <a:extLst>
            <a:ext uri="{FF2B5EF4-FFF2-40B4-BE49-F238E27FC236}">
              <a16:creationId xmlns:a16="http://schemas.microsoft.com/office/drawing/2014/main" id="{D6E82383-1BD0-41B7-85B9-36D170553127}"/>
            </a:ext>
          </a:extLst>
        </xdr:cNvPr>
        <xdr:cNvCxnSpPr/>
      </xdr:nvCxnSpPr>
      <xdr:spPr>
        <a:xfrm>
          <a:off x="7087428" y="1698349"/>
          <a:ext cx="4352097" cy="2381249"/>
        </a:xfrm>
        <a:prstGeom prst="straightConnector1">
          <a:avLst/>
        </a:prstGeom>
        <a:ln>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11</xdr:col>
      <xdr:colOff>819977</xdr:colOff>
      <xdr:row>14</xdr:row>
      <xdr:rowOff>115957</xdr:rowOff>
    </xdr:from>
    <xdr:to>
      <xdr:col>18</xdr:col>
      <xdr:colOff>588065</xdr:colOff>
      <xdr:row>20</xdr:row>
      <xdr:rowOff>91108</xdr:rowOff>
    </xdr:to>
    <xdr:cxnSp macro="">
      <xdr:nvCxnSpPr>
        <xdr:cNvPr id="59" name="Straight Arrow Connector 58">
          <a:extLst>
            <a:ext uri="{FF2B5EF4-FFF2-40B4-BE49-F238E27FC236}">
              <a16:creationId xmlns:a16="http://schemas.microsoft.com/office/drawing/2014/main" id="{B95076E8-D9B5-4D87-88EF-F04AF55FF1C4}"/>
            </a:ext>
          </a:extLst>
        </xdr:cNvPr>
        <xdr:cNvCxnSpPr/>
      </xdr:nvCxnSpPr>
      <xdr:spPr>
        <a:xfrm>
          <a:off x="7087427" y="2906782"/>
          <a:ext cx="4349613" cy="1156251"/>
        </a:xfrm>
        <a:prstGeom prst="straightConnector1">
          <a:avLst/>
        </a:prstGeom>
        <a:ln>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13</xdr:col>
      <xdr:colOff>3313</xdr:colOff>
      <xdr:row>17</xdr:row>
      <xdr:rowOff>127553</xdr:rowOff>
    </xdr:from>
    <xdr:to>
      <xdr:col>19</xdr:col>
      <xdr:colOff>0</xdr:colOff>
      <xdr:row>20</xdr:row>
      <xdr:rowOff>82826</xdr:rowOff>
    </xdr:to>
    <xdr:cxnSp macro="">
      <xdr:nvCxnSpPr>
        <xdr:cNvPr id="60" name="Straight Arrow Connector 59">
          <a:extLst>
            <a:ext uri="{FF2B5EF4-FFF2-40B4-BE49-F238E27FC236}">
              <a16:creationId xmlns:a16="http://schemas.microsoft.com/office/drawing/2014/main" id="{3A73D7DA-8328-4EFC-A709-C44E564C762D}"/>
            </a:ext>
          </a:extLst>
        </xdr:cNvPr>
        <xdr:cNvCxnSpPr/>
      </xdr:nvCxnSpPr>
      <xdr:spPr>
        <a:xfrm>
          <a:off x="7680463" y="3508928"/>
          <a:ext cx="3759062" cy="545823"/>
        </a:xfrm>
        <a:prstGeom prst="straightConnector1">
          <a:avLst/>
        </a:prstGeom>
        <a:ln>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3358</xdr:colOff>
      <xdr:row>5</xdr:row>
      <xdr:rowOff>66261</xdr:rowOff>
    </xdr:from>
    <xdr:to>
      <xdr:col>4</xdr:col>
      <xdr:colOff>596348</xdr:colOff>
      <xdr:row>11</xdr:row>
      <xdr:rowOff>216089</xdr:rowOff>
    </xdr:to>
    <xdr:cxnSp macro="">
      <xdr:nvCxnSpPr>
        <xdr:cNvPr id="61" name="Straight Arrow Connector 60">
          <a:extLst>
            <a:ext uri="{FF2B5EF4-FFF2-40B4-BE49-F238E27FC236}">
              <a16:creationId xmlns:a16="http://schemas.microsoft.com/office/drawing/2014/main" id="{5B96B17A-9DD5-4FBC-AF74-326ED94BE4C5}"/>
            </a:ext>
          </a:extLst>
        </xdr:cNvPr>
        <xdr:cNvCxnSpPr/>
      </xdr:nvCxnSpPr>
      <xdr:spPr>
        <a:xfrm flipV="1">
          <a:off x="2365558" y="1066386"/>
          <a:ext cx="583465" cy="13214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11640</xdr:colOff>
      <xdr:row>8</xdr:row>
      <xdr:rowOff>99391</xdr:rowOff>
    </xdr:from>
    <xdr:to>
      <xdr:col>5</xdr:col>
      <xdr:colOff>8283</xdr:colOff>
      <xdr:row>11</xdr:row>
      <xdr:rowOff>221060</xdr:rowOff>
    </xdr:to>
    <xdr:cxnSp macro="">
      <xdr:nvCxnSpPr>
        <xdr:cNvPr id="62" name="Straight Arrow Connector 61">
          <a:extLst>
            <a:ext uri="{FF2B5EF4-FFF2-40B4-BE49-F238E27FC236}">
              <a16:creationId xmlns:a16="http://schemas.microsoft.com/office/drawing/2014/main" id="{51CF9492-3B68-44F8-ACAB-05DB5FB8F104}"/>
            </a:ext>
          </a:extLst>
        </xdr:cNvPr>
        <xdr:cNvCxnSpPr/>
      </xdr:nvCxnSpPr>
      <xdr:spPr>
        <a:xfrm flipV="1">
          <a:off x="2373840" y="1690066"/>
          <a:ext cx="587193" cy="7026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19923</xdr:colOff>
      <xdr:row>11</xdr:row>
      <xdr:rowOff>99391</xdr:rowOff>
    </xdr:from>
    <xdr:to>
      <xdr:col>5</xdr:col>
      <xdr:colOff>24848</xdr:colOff>
      <xdr:row>11</xdr:row>
      <xdr:rowOff>221059</xdr:rowOff>
    </xdr:to>
    <xdr:cxnSp macro="">
      <xdr:nvCxnSpPr>
        <xdr:cNvPr id="63" name="Straight Arrow Connector 62">
          <a:extLst>
            <a:ext uri="{FF2B5EF4-FFF2-40B4-BE49-F238E27FC236}">
              <a16:creationId xmlns:a16="http://schemas.microsoft.com/office/drawing/2014/main" id="{AF95A142-B59B-42F2-990E-54C5A65F7F98}"/>
            </a:ext>
          </a:extLst>
        </xdr:cNvPr>
        <xdr:cNvCxnSpPr/>
      </xdr:nvCxnSpPr>
      <xdr:spPr>
        <a:xfrm flipV="1">
          <a:off x="2382123" y="2290141"/>
          <a:ext cx="595475" cy="10261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3357</xdr:colOff>
      <xdr:row>11</xdr:row>
      <xdr:rowOff>212776</xdr:rowOff>
    </xdr:from>
    <xdr:to>
      <xdr:col>5</xdr:col>
      <xdr:colOff>0</xdr:colOff>
      <xdr:row>14</xdr:row>
      <xdr:rowOff>99392</xdr:rowOff>
    </xdr:to>
    <xdr:cxnSp macro="">
      <xdr:nvCxnSpPr>
        <xdr:cNvPr id="64" name="Straight Arrow Connector 63">
          <a:extLst>
            <a:ext uri="{FF2B5EF4-FFF2-40B4-BE49-F238E27FC236}">
              <a16:creationId xmlns:a16="http://schemas.microsoft.com/office/drawing/2014/main" id="{FFCBC6F7-1D29-4F13-AC18-548C0E70A396}"/>
            </a:ext>
          </a:extLst>
        </xdr:cNvPr>
        <xdr:cNvCxnSpPr/>
      </xdr:nvCxnSpPr>
      <xdr:spPr>
        <a:xfrm>
          <a:off x="2365557" y="2394001"/>
          <a:ext cx="587193" cy="4962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8282</xdr:colOff>
      <xdr:row>11</xdr:row>
      <xdr:rowOff>212777</xdr:rowOff>
    </xdr:from>
    <xdr:to>
      <xdr:col>5</xdr:col>
      <xdr:colOff>0</xdr:colOff>
      <xdr:row>17</xdr:row>
      <xdr:rowOff>99391</xdr:rowOff>
    </xdr:to>
    <xdr:cxnSp macro="">
      <xdr:nvCxnSpPr>
        <xdr:cNvPr id="65" name="Straight Arrow Connector 64">
          <a:extLst>
            <a:ext uri="{FF2B5EF4-FFF2-40B4-BE49-F238E27FC236}">
              <a16:creationId xmlns:a16="http://schemas.microsoft.com/office/drawing/2014/main" id="{F8BC75DF-772F-450F-9C16-B197EE7AA680}"/>
            </a:ext>
          </a:extLst>
        </xdr:cNvPr>
        <xdr:cNvCxnSpPr/>
      </xdr:nvCxnSpPr>
      <xdr:spPr>
        <a:xfrm>
          <a:off x="2370482" y="2394002"/>
          <a:ext cx="582268" cy="10867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11</xdr:row>
      <xdr:rowOff>229342</xdr:rowOff>
    </xdr:from>
    <xdr:to>
      <xdr:col>4</xdr:col>
      <xdr:colOff>604631</xdr:colOff>
      <xdr:row>20</xdr:row>
      <xdr:rowOff>82826</xdr:rowOff>
    </xdr:to>
    <xdr:cxnSp macro="">
      <xdr:nvCxnSpPr>
        <xdr:cNvPr id="66" name="Straight Arrow Connector 65">
          <a:extLst>
            <a:ext uri="{FF2B5EF4-FFF2-40B4-BE49-F238E27FC236}">
              <a16:creationId xmlns:a16="http://schemas.microsoft.com/office/drawing/2014/main" id="{03C0B355-468C-40B9-BDDA-2C3DBF7BBF1F}"/>
            </a:ext>
          </a:extLst>
        </xdr:cNvPr>
        <xdr:cNvCxnSpPr/>
      </xdr:nvCxnSpPr>
      <xdr:spPr>
        <a:xfrm>
          <a:off x="2362200" y="2391517"/>
          <a:ext cx="595106" cy="16632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8283</xdr:colOff>
      <xdr:row>12</xdr:row>
      <xdr:rowOff>0</xdr:rowOff>
    </xdr:from>
    <xdr:to>
      <xdr:col>4</xdr:col>
      <xdr:colOff>604631</xdr:colOff>
      <xdr:row>23</xdr:row>
      <xdr:rowOff>124239</xdr:rowOff>
    </xdr:to>
    <xdr:cxnSp macro="">
      <xdr:nvCxnSpPr>
        <xdr:cNvPr id="67" name="Straight Arrow Connector 66">
          <a:extLst>
            <a:ext uri="{FF2B5EF4-FFF2-40B4-BE49-F238E27FC236}">
              <a16:creationId xmlns:a16="http://schemas.microsoft.com/office/drawing/2014/main" id="{F1B0D2A1-FB32-4CCC-9315-E35E9A6E9591}"/>
            </a:ext>
          </a:extLst>
        </xdr:cNvPr>
        <xdr:cNvCxnSpPr/>
      </xdr:nvCxnSpPr>
      <xdr:spPr>
        <a:xfrm>
          <a:off x="2370483" y="2390775"/>
          <a:ext cx="586823" cy="22959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710692</xdr:colOff>
      <xdr:row>11</xdr:row>
      <xdr:rowOff>115956</xdr:rowOff>
    </xdr:from>
    <xdr:to>
      <xdr:col>10</xdr:col>
      <xdr:colOff>0</xdr:colOff>
      <xdr:row>11</xdr:row>
      <xdr:rowOff>141547</xdr:rowOff>
    </xdr:to>
    <xdr:cxnSp macro="">
      <xdr:nvCxnSpPr>
        <xdr:cNvPr id="68" name="Straight Arrow Connector 67">
          <a:extLst>
            <a:ext uri="{FF2B5EF4-FFF2-40B4-BE49-F238E27FC236}">
              <a16:creationId xmlns:a16="http://schemas.microsoft.com/office/drawing/2014/main" id="{317858F5-6F3C-44A2-ABC2-2AF5AFDD09BB}"/>
            </a:ext>
          </a:extLst>
        </xdr:cNvPr>
        <xdr:cNvCxnSpPr/>
      </xdr:nvCxnSpPr>
      <xdr:spPr>
        <a:xfrm flipV="1">
          <a:off x="4130167" y="2306706"/>
          <a:ext cx="1775333" cy="2559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612913</xdr:colOff>
      <xdr:row>14</xdr:row>
      <xdr:rowOff>99392</xdr:rowOff>
    </xdr:from>
    <xdr:to>
      <xdr:col>10</xdr:col>
      <xdr:colOff>8282</xdr:colOff>
      <xdr:row>14</xdr:row>
      <xdr:rowOff>105106</xdr:rowOff>
    </xdr:to>
    <xdr:cxnSp macro="">
      <xdr:nvCxnSpPr>
        <xdr:cNvPr id="69" name="Straight Arrow Connector 68">
          <a:extLst>
            <a:ext uri="{FF2B5EF4-FFF2-40B4-BE49-F238E27FC236}">
              <a16:creationId xmlns:a16="http://schemas.microsoft.com/office/drawing/2014/main" id="{1324EAD1-7363-47AD-AB28-DA0C18E70B05}"/>
            </a:ext>
          </a:extLst>
        </xdr:cNvPr>
        <xdr:cNvCxnSpPr/>
      </xdr:nvCxnSpPr>
      <xdr:spPr>
        <a:xfrm flipV="1">
          <a:off x="5318263" y="2890217"/>
          <a:ext cx="595519" cy="571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17</xdr:row>
      <xdr:rowOff>88539</xdr:rowOff>
    </xdr:from>
    <xdr:to>
      <xdr:col>9</xdr:col>
      <xdr:colOff>604631</xdr:colOff>
      <xdr:row>17</xdr:row>
      <xdr:rowOff>115956</xdr:rowOff>
    </xdr:to>
    <xdr:cxnSp macro="">
      <xdr:nvCxnSpPr>
        <xdr:cNvPr id="70" name="Straight Arrow Connector 69">
          <a:extLst>
            <a:ext uri="{FF2B5EF4-FFF2-40B4-BE49-F238E27FC236}">
              <a16:creationId xmlns:a16="http://schemas.microsoft.com/office/drawing/2014/main" id="{67AD8EFA-0F89-4CF0-A5BD-463DECCA16E3}"/>
            </a:ext>
          </a:extLst>
        </xdr:cNvPr>
        <xdr:cNvCxnSpPr/>
      </xdr:nvCxnSpPr>
      <xdr:spPr>
        <a:xfrm>
          <a:off x="4133850" y="3469914"/>
          <a:ext cx="1776206" cy="274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5</xdr:col>
      <xdr:colOff>627983</xdr:colOff>
      <xdr:row>3</xdr:row>
      <xdr:rowOff>23653</xdr:rowOff>
    </xdr:from>
    <xdr:ext cx="65" cy="172227"/>
    <xdr:sp macro="" textlink="">
      <xdr:nvSpPr>
        <xdr:cNvPr id="2" name="TextBox 1">
          <a:extLst>
            <a:ext uri="{FF2B5EF4-FFF2-40B4-BE49-F238E27FC236}">
              <a16:creationId xmlns:a16="http://schemas.microsoft.com/office/drawing/2014/main" id="{0ADEA6C1-9035-4A9C-9C95-14DDB6978700}"/>
            </a:ext>
          </a:extLst>
        </xdr:cNvPr>
        <xdr:cNvSpPr txBox="1"/>
      </xdr:nvSpPr>
      <xdr:spPr>
        <a:xfrm>
          <a:off x="8105108" y="66182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oneCellAnchor>
    <xdr:from>
      <xdr:col>5</xdr:col>
      <xdr:colOff>457200</xdr:colOff>
      <xdr:row>7</xdr:row>
      <xdr:rowOff>87630</xdr:rowOff>
    </xdr:from>
    <xdr:ext cx="65" cy="172227"/>
    <xdr:sp macro="" textlink="">
      <xdr:nvSpPr>
        <xdr:cNvPr id="3" name="TextBox 2">
          <a:extLst>
            <a:ext uri="{FF2B5EF4-FFF2-40B4-BE49-F238E27FC236}">
              <a16:creationId xmlns:a16="http://schemas.microsoft.com/office/drawing/2014/main" id="{C00AB26F-90D3-48C3-96E5-26DD380EE419}"/>
            </a:ext>
          </a:extLst>
        </xdr:cNvPr>
        <xdr:cNvSpPr txBox="1"/>
      </xdr:nvSpPr>
      <xdr:spPr>
        <a:xfrm>
          <a:off x="7934325" y="14973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oneCellAnchor>
    <xdr:from>
      <xdr:col>7</xdr:col>
      <xdr:colOff>25853</xdr:colOff>
      <xdr:row>23</xdr:row>
      <xdr:rowOff>102733</xdr:rowOff>
    </xdr:from>
    <xdr:ext cx="2552943" cy="410753"/>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3C38014-9361-46AF-B63A-AFF63580CF97}"/>
                </a:ext>
              </a:extLst>
            </xdr:cNvPr>
            <xdr:cNvSpPr txBox="1"/>
          </xdr:nvSpPr>
          <xdr:spPr>
            <a:xfrm>
              <a:off x="11122478" y="4560433"/>
              <a:ext cx="2552943" cy="410753"/>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t-EE" sz="1100" i="1">
                            <a:solidFill>
                              <a:srgbClr val="836967"/>
                            </a:solidFill>
                            <a:latin typeface="Cambria Math" panose="02040503050406030204" pitchFamily="18" charset="0"/>
                          </a:rPr>
                        </m:ctrlPr>
                      </m:sSubPr>
                      <m:e>
                        <m:r>
                          <a:rPr lang="et-EE" sz="1100" i="1">
                            <a:latin typeface="Cambria Math" panose="02040503050406030204" pitchFamily="18" charset="0"/>
                          </a:rPr>
                          <m:t>𝐹</m:t>
                        </m:r>
                      </m:e>
                      <m:sub>
                        <m:r>
                          <a:rPr lang="en-US" sz="1100" b="0" i="1">
                            <a:latin typeface="Cambria Math" panose="02040503050406030204" pitchFamily="18" charset="0"/>
                          </a:rPr>
                          <m:t>𝑝𝑟𝑝</m:t>
                        </m:r>
                      </m:sub>
                    </m:sSub>
                    <m:r>
                      <a:rPr lang="et-EE" sz="1100" i="0">
                        <a:latin typeface="Cambria Math" panose="02040503050406030204" pitchFamily="18" charset="0"/>
                      </a:rPr>
                      <m:t>=</m:t>
                    </m:r>
                    <m:nary>
                      <m:naryPr>
                        <m:chr m:val="∑"/>
                        <m:limLoc m:val="undOvr"/>
                        <m:grow m:val="on"/>
                        <m:supHide m:val="on"/>
                        <m:ctrlPr>
                          <a:rPr lang="et-EE" sz="1100" i="1">
                            <a:latin typeface="Cambria Math" panose="02040503050406030204" pitchFamily="18" charset="0"/>
                          </a:rPr>
                        </m:ctrlPr>
                      </m:naryPr>
                      <m:sub>
                        <m:r>
                          <a:rPr lang="en-US" sz="1100" b="0" i="1">
                            <a:latin typeface="Cambria Math" panose="02040503050406030204" pitchFamily="18" charset="0"/>
                          </a:rPr>
                          <m:t>𝑇</m:t>
                        </m:r>
                      </m:sub>
                      <m:sup/>
                      <m:e>
                        <m:d>
                          <m:dPr>
                            <m:begChr m:val="["/>
                            <m:endChr m:val="]"/>
                            <m:ctrlPr>
                              <a:rPr lang="et-EE" sz="1100" i="1">
                                <a:solidFill>
                                  <a:srgbClr val="836967"/>
                                </a:solidFill>
                                <a:latin typeface="Cambria Math" panose="02040503050406030204" pitchFamily="18" charset="0"/>
                              </a:rPr>
                            </m:ctrlPr>
                          </m:dPr>
                          <m:e>
                            <m:d>
                              <m:dPr>
                                <m:ctrlPr>
                                  <a:rPr lang="en-US" sz="1100" b="0" i="1">
                                    <a:solidFill>
                                      <a:srgbClr val="836967"/>
                                    </a:solidFill>
                                    <a:latin typeface="Cambria Math" panose="02040503050406030204" pitchFamily="18" charset="0"/>
                                  </a:rPr>
                                </m:ctrlPr>
                              </m:dPr>
                              <m:e>
                                <m:r>
                                  <a:rPr lang="et-EE" sz="1100" i="1">
                                    <a:latin typeface="Cambria Math" panose="02040503050406030204" pitchFamily="18" charset="0"/>
                                  </a:rPr>
                                  <m:t>𝑁</m:t>
                                </m:r>
                                <m:d>
                                  <m:dPr>
                                    <m:ctrlPr>
                                      <a:rPr lang="en-US" sz="1100" b="0" i="1">
                                        <a:latin typeface="Cambria Math" panose="02040503050406030204" pitchFamily="18" charset="0"/>
                                      </a:rPr>
                                    </m:ctrlPr>
                                  </m:dPr>
                                  <m:e>
                                    <m:r>
                                      <a:rPr lang="en-US" sz="1100" b="0" i="1">
                                        <a:latin typeface="Cambria Math" panose="02040503050406030204" pitchFamily="18" charset="0"/>
                                      </a:rPr>
                                      <m:t>𝑇</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𝑒𝑥</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𝑇</m:t>
                                    </m:r>
                                  </m:e>
                                </m:d>
                              </m:e>
                            </m:d>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𝑀𝑆</m:t>
                                </m:r>
                              </m:e>
                              <m:sub>
                                <m:r>
                                  <a:rPr lang="en-US" sz="1100" b="0" i="1">
                                    <a:latin typeface="Cambria Math" panose="02040503050406030204" pitchFamily="18" charset="0"/>
                                  </a:rPr>
                                  <m:t>𝑇</m:t>
                                </m:r>
                                <m:r>
                                  <a:rPr lang="en-US" sz="1100" b="0" i="1">
                                    <a:latin typeface="Cambria Math" panose="02040503050406030204" pitchFamily="18" charset="0"/>
                                  </a:rPr>
                                  <m:t>, </m:t>
                                </m:r>
                                <m:r>
                                  <a:rPr lang="en-US" sz="1100" b="0" i="1">
                                    <a:latin typeface="Cambria Math" panose="02040503050406030204" pitchFamily="18" charset="0"/>
                                  </a:rPr>
                                  <m:t>𝑃𝑅𝑃</m:t>
                                </m:r>
                              </m:sub>
                            </m:sSub>
                          </m:e>
                        </m:d>
                      </m:e>
                    </m:nary>
                  </m:oMath>
                </m:oMathPara>
              </a14:m>
              <a:endParaRPr lang="et-EE" sz="1100"/>
            </a:p>
          </xdr:txBody>
        </xdr:sp>
      </mc:Choice>
      <mc:Fallback xmlns="">
        <xdr:sp macro="" textlink="">
          <xdr:nvSpPr>
            <xdr:cNvPr id="4" name="TextBox 3">
              <a:extLst>
                <a:ext uri="{FF2B5EF4-FFF2-40B4-BE49-F238E27FC236}">
                  <a16:creationId xmlns:a16="http://schemas.microsoft.com/office/drawing/2014/main" id="{E3C38014-9361-46AF-B63A-AFF63580CF97}"/>
                </a:ext>
              </a:extLst>
            </xdr:cNvPr>
            <xdr:cNvSpPr txBox="1"/>
          </xdr:nvSpPr>
          <xdr:spPr>
            <a:xfrm>
              <a:off x="11122478" y="4560433"/>
              <a:ext cx="2552943" cy="410753"/>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t-EE" sz="1100" i="0">
                  <a:latin typeface="Cambria Math" panose="02040503050406030204" pitchFamily="18" charset="0"/>
                </a:rPr>
                <a:t>𝐹</a:t>
              </a:r>
              <a:r>
                <a:rPr lang="et-EE" sz="1100" i="0">
                  <a:solidFill>
                    <a:srgbClr val="836967"/>
                  </a:solidFill>
                  <a:latin typeface="Cambria Math" panose="02040503050406030204" pitchFamily="18" charset="0"/>
                </a:rPr>
                <a:t>_</a:t>
              </a:r>
              <a:r>
                <a:rPr lang="en-US" sz="1100" b="0" i="0">
                  <a:latin typeface="Cambria Math" panose="02040503050406030204" pitchFamily="18" charset="0"/>
                </a:rPr>
                <a:t>𝑝𝑟𝑝</a:t>
              </a:r>
              <a:r>
                <a:rPr lang="et-EE" sz="1100" i="0">
                  <a:latin typeface="Cambria Math" panose="02040503050406030204" pitchFamily="18" charset="0"/>
                </a:rPr>
                <a:t>=∑129</a:t>
              </a:r>
              <a:r>
                <a:rPr lang="en-US" sz="1100" b="0" i="0">
                  <a:latin typeface="Cambria Math" panose="02040503050406030204" pitchFamily="18" charset="0"/>
                </a:rPr>
                <a:t>_𝑇▒</a:t>
              </a:r>
              <a:r>
                <a:rPr lang="et-EE" sz="1100" b="0" i="0">
                  <a:solidFill>
                    <a:srgbClr val="836967"/>
                  </a:solidFill>
                  <a:latin typeface="Cambria Math" panose="02040503050406030204" pitchFamily="18" charset="0"/>
                </a:rPr>
                <a:t>[</a:t>
              </a:r>
              <a:r>
                <a:rPr lang="en-US" sz="1100" b="0" i="0">
                  <a:solidFill>
                    <a:srgbClr val="836967"/>
                  </a:solidFill>
                  <a:latin typeface="Cambria Math" panose="02040503050406030204" pitchFamily="18" charset="0"/>
                </a:rPr>
                <a:t>(</a:t>
              </a:r>
              <a:r>
                <a:rPr lang="et-EE" sz="1100" i="0">
                  <a:latin typeface="Cambria Math" panose="02040503050406030204" pitchFamily="18" charset="0"/>
                </a:rPr>
                <a:t>𝑁</a:t>
              </a:r>
              <a:r>
                <a:rPr lang="en-US" sz="1100" b="0" i="0">
                  <a:latin typeface="Cambria Math" panose="02040503050406030204" pitchFamily="18" charset="0"/>
                </a:rPr>
                <a:t>(𝑇)∗𝑁 𝑒𝑥 (𝑇))∗〖𝑀𝑆〗_(𝑇, 𝑃𝑅𝑃) ] </a:t>
              </a:r>
              <a:endParaRPr lang="et-EE" sz="1100"/>
            </a:p>
          </xdr:txBody>
        </xdr:sp>
      </mc:Fallback>
    </mc:AlternateContent>
    <xdr:clientData/>
  </xdr:oneCellAnchor>
  <xdr:oneCellAnchor>
    <xdr:from>
      <xdr:col>19</xdr:col>
      <xdr:colOff>19050</xdr:colOff>
      <xdr:row>6</xdr:row>
      <xdr:rowOff>128587</xdr:rowOff>
    </xdr:from>
    <xdr:ext cx="10140084" cy="410818"/>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ED00A93-619C-46EE-A2F3-B4EB92D45751}"/>
                </a:ext>
              </a:extLst>
            </xdr:cNvPr>
            <xdr:cNvSpPr txBox="1"/>
          </xdr:nvSpPr>
          <xdr:spPr>
            <a:xfrm>
              <a:off x="19135725" y="1347787"/>
              <a:ext cx="10140084" cy="410818"/>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t-EE" sz="1100" i="1" u="none">
                            <a:solidFill>
                              <a:srgbClr val="836967"/>
                            </a:solidFill>
                            <a:latin typeface="Cambria Math" panose="02040503050406030204" pitchFamily="18" charset="0"/>
                          </a:rPr>
                        </m:ctrlPr>
                      </m:sSubPr>
                      <m:e>
                        <m:r>
                          <a:rPr lang="et-EE" sz="1100" i="1" u="none">
                            <a:latin typeface="Cambria Math" panose="02040503050406030204" pitchFamily="18" charset="0"/>
                          </a:rPr>
                          <m:t>𝐹</m:t>
                        </m:r>
                      </m:e>
                      <m:sub>
                        <m:r>
                          <a:rPr lang="en-US" sz="1100" b="0" i="1" u="none">
                            <a:latin typeface="Cambria Math" panose="02040503050406030204" pitchFamily="18" charset="0"/>
                          </a:rPr>
                          <m:t>𝑐𝑟</m:t>
                        </m:r>
                      </m:sub>
                    </m:sSub>
                    <m:r>
                      <a:rPr lang="et-EE" sz="1100" i="0" u="none">
                        <a:latin typeface="Cambria Math" panose="02040503050406030204" pitchFamily="18" charset="0"/>
                      </a:rPr>
                      <m:t>=</m:t>
                    </m:r>
                    <m:nary>
                      <m:naryPr>
                        <m:chr m:val="∑"/>
                        <m:limLoc m:val="undOvr"/>
                        <m:grow m:val="on"/>
                        <m:supHide m:val="on"/>
                        <m:ctrlPr>
                          <a:rPr lang="et-EE" sz="1100" i="1" u="none">
                            <a:latin typeface="Cambria Math" panose="02040503050406030204" pitchFamily="18" charset="0"/>
                          </a:rPr>
                        </m:ctrlPr>
                      </m:naryPr>
                      <m:sub>
                        <m:r>
                          <a:rPr lang="en-US" sz="1100" b="0" i="1" u="none">
                            <a:latin typeface="Cambria Math" panose="02040503050406030204" pitchFamily="18" charset="0"/>
                          </a:rPr>
                          <m:t>𝑘𝑢𝑙𝑡𝑢𝑢𝑟</m:t>
                        </m:r>
                      </m:sub>
                      <m:sup/>
                      <m:e>
                        <m:r>
                          <a:rPr lang="en-US" sz="1100" b="0" i="1" u="none">
                            <a:latin typeface="Cambria Math" panose="02040503050406030204" pitchFamily="18" charset="0"/>
                          </a:rPr>
                          <m:t>{</m:t>
                        </m:r>
                        <m:r>
                          <a:rPr lang="en-US" sz="1100" b="0" i="1" u="none">
                            <a:latin typeface="Cambria Math" panose="02040503050406030204" pitchFamily="18" charset="0"/>
                          </a:rPr>
                          <m:t>𝐴𝑟𝑒𝑎</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𝐶𝑟𝑜𝑝</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𝑅</m:t>
                        </m:r>
                        <m:r>
                          <a:rPr lang="en-US" sz="1100" b="0" i="1" u="none">
                            <a:latin typeface="Cambria Math" panose="02040503050406030204" pitchFamily="18" charset="0"/>
                          </a:rPr>
                          <m:t> </m:t>
                        </m:r>
                        <m:r>
                          <a:rPr lang="en-US" sz="1100" b="0" i="1" u="none">
                            <a:latin typeface="Cambria Math" panose="02040503050406030204" pitchFamily="18" charset="0"/>
                          </a:rPr>
                          <m:t>𝑎𝑔</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𝑁</m:t>
                        </m:r>
                        <m:r>
                          <a:rPr lang="en-US" sz="1100" b="0" i="1" u="none">
                            <a:latin typeface="Cambria Math" panose="02040503050406030204" pitchFamily="18" charset="0"/>
                          </a:rPr>
                          <m:t> </m:t>
                        </m:r>
                        <m:r>
                          <a:rPr lang="en-US" sz="1100" b="0" i="1" u="none">
                            <a:latin typeface="Cambria Math" panose="02040503050406030204" pitchFamily="18" charset="0"/>
                          </a:rPr>
                          <m:t>𝑎𝑔</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d>
                          <m:dPr>
                            <m:endChr m:val="]"/>
                            <m:ctrlPr>
                              <a:rPr lang="en-US" sz="1100" b="0" i="1" u="none">
                                <a:latin typeface="Cambria Math" panose="02040503050406030204" pitchFamily="18" charset="0"/>
                              </a:rPr>
                            </m:ctrlPr>
                          </m:dPr>
                          <m:e>
                            <m:r>
                              <a:rPr lang="en-US" sz="1100" b="0" i="1" u="none">
                                <a:latin typeface="Cambria Math" panose="02040503050406030204" pitchFamily="18" charset="0"/>
                              </a:rPr>
                              <m:t>1−</m:t>
                            </m:r>
                            <m:r>
                              <a:rPr lang="en-US" sz="1100" b="0" i="1" u="none">
                                <a:latin typeface="Cambria Math" panose="02040503050406030204" pitchFamily="18" charset="0"/>
                              </a:rPr>
                              <m:t>𝐹𝑟𝑎𝑐</m:t>
                            </m:r>
                            <m:r>
                              <a:rPr lang="en-US" sz="1100" b="0" i="1" u="none">
                                <a:latin typeface="Cambria Math" panose="02040503050406030204" pitchFamily="18" charset="0"/>
                              </a:rPr>
                              <m:t> </m:t>
                            </m:r>
                            <m:r>
                              <a:rPr lang="en-US" sz="1100" b="0" i="1" u="none">
                                <a:latin typeface="Cambria Math" panose="02040503050406030204" pitchFamily="18" charset="0"/>
                              </a:rPr>
                              <m:t>𝑟𝑒𝑚𝑜𝑣𝑒</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e>
                        </m:d>
                        <m:r>
                          <a:rPr lang="en-US" sz="1100" b="0" i="1" u="none">
                            <a:latin typeface="Cambria Math" panose="02040503050406030204" pitchFamily="18" charset="0"/>
                          </a:rPr>
                          <m:t>+[</m:t>
                        </m:r>
                        <m:r>
                          <a:rPr lang="en-US" sz="1100" b="0" i="1" u="none">
                            <a:latin typeface="Cambria Math" panose="02040503050406030204" pitchFamily="18" charset="0"/>
                          </a:rPr>
                          <m:t>𝐶𝑟𝑜𝑝</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𝑅𝑆</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r>
                          <a:rPr lang="en-US" sz="1100" b="0" i="1" u="none">
                            <a:latin typeface="Cambria Math" panose="02040503050406030204" pitchFamily="18" charset="0"/>
                          </a:rPr>
                          <m:t>𝑁</m:t>
                        </m:r>
                        <m:r>
                          <a:rPr lang="en-US" sz="1100" b="0" i="1" u="none">
                            <a:latin typeface="Cambria Math" panose="02040503050406030204" pitchFamily="18" charset="0"/>
                          </a:rPr>
                          <m:t> </m:t>
                        </m:r>
                        <m:r>
                          <a:rPr lang="en-US" sz="1100" b="0" i="1" u="none">
                            <a:latin typeface="Cambria Math" panose="02040503050406030204" pitchFamily="18" charset="0"/>
                          </a:rPr>
                          <m:t>𝑏𝑔</m:t>
                        </m:r>
                        <m:r>
                          <a:rPr lang="en-US" sz="1100" b="0" i="1" u="none">
                            <a:latin typeface="Cambria Math" panose="02040503050406030204" pitchFamily="18" charset="0"/>
                          </a:rPr>
                          <m:t> </m:t>
                        </m:r>
                        <m:d>
                          <m:dPr>
                            <m:ctrlPr>
                              <a:rPr lang="en-US" sz="1100" b="0" i="1" u="none">
                                <a:latin typeface="Cambria Math" panose="02040503050406030204" pitchFamily="18" charset="0"/>
                              </a:rPr>
                            </m:ctrlPr>
                          </m:dPr>
                          <m:e>
                            <m:r>
                              <a:rPr lang="en-US" sz="1100" b="0" i="1" u="none">
                                <a:latin typeface="Cambria Math" panose="02040503050406030204" pitchFamily="18" charset="0"/>
                              </a:rPr>
                              <m:t>𝑐𝑢𝑙𝑡𝑢𝑟𝑒</m:t>
                            </m:r>
                          </m:e>
                        </m:d>
                        <m:r>
                          <a:rPr lang="en-US" sz="1100" b="0" i="1" u="none">
                            <a:latin typeface="Cambria Math" panose="02040503050406030204" pitchFamily="18" charset="0"/>
                          </a:rPr>
                          <m:t>]}</m:t>
                        </m:r>
                      </m:e>
                    </m:nary>
                  </m:oMath>
                </m:oMathPara>
              </a14:m>
              <a:endParaRPr lang="et-EE" sz="1100" u="none"/>
            </a:p>
          </xdr:txBody>
        </xdr:sp>
      </mc:Choice>
      <mc:Fallback xmlns="">
        <xdr:sp macro="" textlink="">
          <xdr:nvSpPr>
            <xdr:cNvPr id="5" name="TextBox 4">
              <a:extLst>
                <a:ext uri="{FF2B5EF4-FFF2-40B4-BE49-F238E27FC236}">
                  <a16:creationId xmlns:a16="http://schemas.microsoft.com/office/drawing/2014/main" id="{4ED00A93-619C-46EE-A2F3-B4EB92D45751}"/>
                </a:ext>
              </a:extLst>
            </xdr:cNvPr>
            <xdr:cNvSpPr txBox="1"/>
          </xdr:nvSpPr>
          <xdr:spPr>
            <a:xfrm>
              <a:off x="19135725" y="1347787"/>
              <a:ext cx="10140084" cy="410818"/>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t-EE" sz="1100" i="0" u="none">
                  <a:latin typeface="Cambria Math" panose="02040503050406030204" pitchFamily="18" charset="0"/>
                </a:rPr>
                <a:t>𝐹</a:t>
              </a:r>
              <a:r>
                <a:rPr lang="et-EE" sz="1100" i="0" u="none">
                  <a:solidFill>
                    <a:srgbClr val="836967"/>
                  </a:solidFill>
                  <a:latin typeface="Cambria Math" panose="02040503050406030204" pitchFamily="18" charset="0"/>
                </a:rPr>
                <a:t>_</a:t>
              </a:r>
              <a:r>
                <a:rPr lang="en-US" sz="1100" b="0" i="0" u="none">
                  <a:latin typeface="Cambria Math" panose="02040503050406030204" pitchFamily="18" charset="0"/>
                </a:rPr>
                <a:t>𝑐𝑟</a:t>
              </a:r>
              <a:r>
                <a:rPr lang="et-EE" sz="1100" i="0" u="none">
                  <a:latin typeface="Cambria Math" panose="02040503050406030204" pitchFamily="18" charset="0"/>
                </a:rPr>
                <a:t>=∑129</a:t>
              </a:r>
              <a:r>
                <a:rPr lang="en-US" sz="1100" b="0" i="0" u="none">
                  <a:latin typeface="Cambria Math" panose="02040503050406030204" pitchFamily="18" charset="0"/>
                </a:rPr>
                <a:t>_𝑘𝑢𝑙𝑡𝑢𝑢𝑟▒</a:t>
              </a:r>
              <a:r>
                <a:rPr lang="et-EE" sz="1100" b="0" i="0" u="none">
                  <a:latin typeface="Cambria Math" panose="02040503050406030204" pitchFamily="18" charset="0"/>
                </a:rPr>
                <a:t>〖</a:t>
              </a:r>
              <a:r>
                <a:rPr lang="en-US" sz="1100" b="0" i="0" u="none">
                  <a:latin typeface="Cambria Math" panose="02040503050406030204" pitchFamily="18" charset="0"/>
                </a:rPr>
                <a:t>{𝐴𝑟𝑒𝑎 (𝑐𝑢𝑙𝑡𝑢𝑟𝑒)∗[𝐶𝑟𝑜𝑝 (𝑐𝑢𝑙𝑡𝑢𝑟𝑒)∗𝑅 𝑎𝑔 (𝑐𝑢𝑙𝑡𝑢𝑟𝑒)∗𝑁 𝑎𝑔 (𝑐𝑢𝑙𝑡𝑢𝑟𝑒)∗(1−𝐹𝑟𝑎𝑐 𝑟𝑒𝑚𝑜𝑣𝑒 (𝑐𝑢𝑙𝑡𝑢𝑟𝑒))]+[𝐶𝑟𝑜𝑝 (𝑐𝑢𝑙𝑡𝑢𝑟𝑒)∗𝑅𝑆 (𝑐𝑢𝑙𝑡𝑢𝑟𝑒)∗𝑁 𝑏𝑔 (𝑐𝑢𝑙𝑡𝑢𝑟𝑒)]}</a:t>
              </a:r>
              <a:r>
                <a:rPr lang="et-EE" sz="1100" b="0" i="0" u="none">
                  <a:latin typeface="Cambria Math" panose="02040503050406030204" pitchFamily="18" charset="0"/>
                </a:rPr>
                <a:t>〗</a:t>
              </a:r>
              <a:endParaRPr lang="et-EE" sz="1100" u="none"/>
            </a:p>
          </xdr:txBody>
        </xdr:sp>
      </mc:Fallback>
    </mc:AlternateContent>
    <xdr:clientData/>
  </xdr:oneCellAnchor>
  <xdr:oneCellAnchor>
    <xdr:from>
      <xdr:col>19</xdr:col>
      <xdr:colOff>9525</xdr:colOff>
      <xdr:row>18</xdr:row>
      <xdr:rowOff>138112</xdr:rowOff>
    </xdr:from>
    <xdr:ext cx="9163662" cy="410818"/>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69F1B57D-B1B1-4F4C-887B-82500D72E9BD}"/>
                </a:ext>
              </a:extLst>
            </xdr:cNvPr>
            <xdr:cNvSpPr txBox="1"/>
          </xdr:nvSpPr>
          <xdr:spPr>
            <a:xfrm>
              <a:off x="19126200" y="3643312"/>
              <a:ext cx="9163662" cy="410818"/>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t-EE" sz="1100" i="1">
                            <a:solidFill>
                              <a:srgbClr val="836967"/>
                            </a:solidFill>
                            <a:latin typeface="Cambria Math" panose="02040503050406030204" pitchFamily="18" charset="0"/>
                          </a:rPr>
                        </m:ctrlPr>
                      </m:sSubPr>
                      <m:e>
                        <m:r>
                          <a:rPr lang="et-EE" sz="1100" i="1">
                            <a:latin typeface="Cambria Math" panose="02040503050406030204" pitchFamily="18" charset="0"/>
                          </a:rPr>
                          <m:t>𝐹</m:t>
                        </m:r>
                      </m:e>
                      <m:sub>
                        <m:r>
                          <a:rPr lang="en-US" sz="1100" b="0" i="1">
                            <a:latin typeface="Cambria Math" panose="02040503050406030204" pitchFamily="18" charset="0"/>
                          </a:rPr>
                          <m:t>𝑔𝑐𝑟</m:t>
                        </m:r>
                      </m:sub>
                    </m:sSub>
                    <m:r>
                      <a:rPr lang="et-EE" sz="1100" i="0">
                        <a:latin typeface="Cambria Math" panose="02040503050406030204" pitchFamily="18" charset="0"/>
                      </a:rPr>
                      <m:t>=</m:t>
                    </m:r>
                    <m:nary>
                      <m:naryPr>
                        <m:chr m:val="∑"/>
                        <m:limLoc m:val="undOvr"/>
                        <m:grow m:val="on"/>
                        <m:supHide m:val="on"/>
                        <m:ctrlPr>
                          <a:rPr lang="et-EE" sz="1100" i="1">
                            <a:latin typeface="Cambria Math" panose="02040503050406030204" pitchFamily="18" charset="0"/>
                          </a:rPr>
                        </m:ctrlPr>
                      </m:naryPr>
                      <m:sub>
                        <m:r>
                          <a:rPr lang="en-US" sz="1100" b="0" i="1">
                            <a:latin typeface="Cambria Math" panose="02040503050406030204" pitchFamily="18" charset="0"/>
                          </a:rPr>
                          <m:t>𝑘𝑢𝑙𝑡𝑢𝑢𝑟</m:t>
                        </m:r>
                      </m:sub>
                      <m:sup/>
                      <m:e>
                        <m:r>
                          <a:rPr lang="en-US" sz="1100" b="0" i="1">
                            <a:latin typeface="Cambria Math" panose="02040503050406030204" pitchFamily="18" charset="0"/>
                          </a:rPr>
                          <m:t>{</m:t>
                        </m:r>
                        <m:r>
                          <a:rPr lang="en-US" sz="1100" b="0" i="1">
                            <a:latin typeface="Cambria Math" panose="02040503050406030204" pitchFamily="18" charset="0"/>
                          </a:rPr>
                          <m:t>𝐴𝑟𝑒𝑎</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r>
                          <a:rPr lang="en-US" sz="1100" b="0" i="1">
                            <a:latin typeface="Cambria Math" panose="02040503050406030204" pitchFamily="18" charset="0"/>
                          </a:rPr>
                          <m:t>𝐶𝑟𝑜𝑝</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𝑎𝑔</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d>
                          <m:dPr>
                            <m:endChr m:val="]"/>
                            <m:ctrlPr>
                              <a:rPr lang="en-US" sz="1100" b="0" i="1">
                                <a:latin typeface="Cambria Math" panose="02040503050406030204" pitchFamily="18" charset="0"/>
                              </a:rPr>
                            </m:ctrlPr>
                          </m:dPr>
                          <m:e>
                            <m:r>
                              <a:rPr lang="en-US" sz="1100" b="0" i="1">
                                <a:latin typeface="Cambria Math" panose="02040503050406030204" pitchFamily="18" charset="0"/>
                              </a:rPr>
                              <m:t>1−</m:t>
                            </m:r>
                            <m:r>
                              <a:rPr lang="en-US" sz="1100" b="0" i="1">
                                <a:latin typeface="Cambria Math" panose="02040503050406030204" pitchFamily="18" charset="0"/>
                              </a:rPr>
                              <m:t>𝐹𝑟𝑎𝑐</m:t>
                            </m:r>
                            <m:r>
                              <a:rPr lang="en-US" sz="1100" b="0" i="1">
                                <a:latin typeface="Cambria Math" panose="02040503050406030204" pitchFamily="18" charset="0"/>
                              </a:rPr>
                              <m:t> </m:t>
                            </m:r>
                            <m:r>
                              <a:rPr lang="en-US" sz="1100" b="0" i="1">
                                <a:latin typeface="Cambria Math" panose="02040503050406030204" pitchFamily="18" charset="0"/>
                              </a:rPr>
                              <m:t>𝑟𝑒𝑚𝑜𝑣𝑒</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e>
                        </m:d>
                        <m:r>
                          <a:rPr lang="en-US" sz="1100" b="0" i="1">
                            <a:latin typeface="Cambria Math" panose="02040503050406030204" pitchFamily="18" charset="0"/>
                          </a:rPr>
                          <m:t>+[</m:t>
                        </m:r>
                        <m:r>
                          <a:rPr lang="en-US" sz="1100" b="0" i="1">
                            <a:latin typeface="Cambria Math" panose="02040503050406030204" pitchFamily="18" charset="0"/>
                          </a:rPr>
                          <m:t>𝐶𝑟𝑜𝑝</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r>
                          <a:rPr lang="en-US" sz="1100" b="0" i="1">
                            <a:latin typeface="Cambria Math" panose="02040503050406030204" pitchFamily="18" charset="0"/>
                          </a:rPr>
                          <m:t>𝑅𝑆</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𝑏𝑔</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𝑐𝑢𝑙𝑡𝑢𝑟𝑒</m:t>
                            </m:r>
                          </m:e>
                        </m:d>
                        <m:r>
                          <a:rPr lang="en-US" sz="1100" b="0" i="1">
                            <a:latin typeface="Cambria Math" panose="02040503050406030204" pitchFamily="18" charset="0"/>
                          </a:rPr>
                          <m:t>]}</m:t>
                        </m:r>
                      </m:e>
                    </m:nary>
                  </m:oMath>
                </m:oMathPara>
              </a14:m>
              <a:endParaRPr lang="et-EE" sz="1100"/>
            </a:p>
          </xdr:txBody>
        </xdr:sp>
      </mc:Choice>
      <mc:Fallback xmlns="">
        <xdr:sp macro="" textlink="">
          <xdr:nvSpPr>
            <xdr:cNvPr id="6" name="TextBox 5">
              <a:extLst>
                <a:ext uri="{FF2B5EF4-FFF2-40B4-BE49-F238E27FC236}">
                  <a16:creationId xmlns:a16="http://schemas.microsoft.com/office/drawing/2014/main" id="{69F1B57D-B1B1-4F4C-887B-82500D72E9BD}"/>
                </a:ext>
              </a:extLst>
            </xdr:cNvPr>
            <xdr:cNvSpPr txBox="1"/>
          </xdr:nvSpPr>
          <xdr:spPr>
            <a:xfrm>
              <a:off x="19126200" y="3643312"/>
              <a:ext cx="9163662" cy="410818"/>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t-EE" sz="1100" i="0">
                  <a:latin typeface="Cambria Math" panose="02040503050406030204" pitchFamily="18" charset="0"/>
                </a:rPr>
                <a:t>𝐹</a:t>
              </a:r>
              <a:r>
                <a:rPr lang="et-EE" sz="1100" i="0">
                  <a:solidFill>
                    <a:srgbClr val="836967"/>
                  </a:solidFill>
                  <a:latin typeface="Cambria Math" panose="02040503050406030204" pitchFamily="18" charset="0"/>
                </a:rPr>
                <a:t>_</a:t>
              </a:r>
              <a:r>
                <a:rPr lang="en-US" sz="1100" b="0" i="0">
                  <a:latin typeface="Cambria Math" panose="02040503050406030204" pitchFamily="18" charset="0"/>
                </a:rPr>
                <a:t>𝑔𝑐𝑟</a:t>
              </a:r>
              <a:r>
                <a:rPr lang="et-EE" sz="1100" i="0">
                  <a:latin typeface="Cambria Math" panose="02040503050406030204" pitchFamily="18" charset="0"/>
                </a:rPr>
                <a:t>=∑129</a:t>
              </a:r>
              <a:r>
                <a:rPr lang="en-US" sz="1100" b="0" i="0">
                  <a:latin typeface="Cambria Math" panose="02040503050406030204" pitchFamily="18" charset="0"/>
                </a:rPr>
                <a:t>_𝑘𝑢𝑙𝑡𝑢𝑢𝑟▒</a:t>
              </a:r>
              <a:r>
                <a:rPr lang="et-EE" sz="1100" b="0" i="0">
                  <a:latin typeface="Cambria Math" panose="02040503050406030204" pitchFamily="18" charset="0"/>
                </a:rPr>
                <a:t>〖</a:t>
              </a:r>
              <a:r>
                <a:rPr lang="en-US" sz="1100" b="0" i="0">
                  <a:latin typeface="Cambria Math" panose="02040503050406030204" pitchFamily="18" charset="0"/>
                </a:rPr>
                <a:t>{𝐴𝑟𝑒𝑎 (𝑐𝑢𝑙𝑡𝑢𝑟𝑒)∗[𝐶𝑟𝑜𝑝 (𝑐𝑢𝑙𝑡𝑢𝑟𝑒)∗𝑁 𝑎𝑔 (𝑐𝑢𝑙𝑡𝑢𝑟𝑒)∗(1−𝐹𝑟𝑎𝑐 𝑟𝑒𝑚𝑜𝑣𝑒 (𝑐𝑢𝑙𝑡𝑢𝑟𝑒))]+[𝐶𝑟𝑜𝑝 (𝑐𝑢𝑙𝑡𝑢𝑟𝑒)∗𝑅𝑆 (𝑐𝑢𝑙𝑡𝑢𝑟𝑒)∗𝑁 𝑏𝑔 (𝑐𝑢𝑙𝑡𝑢𝑟𝑒)]}</a:t>
              </a:r>
              <a:r>
                <a:rPr lang="et-EE" sz="1100" b="0" i="0">
                  <a:latin typeface="Cambria Math" panose="02040503050406030204" pitchFamily="18" charset="0"/>
                </a:rPr>
                <a:t>〗</a:t>
              </a:r>
              <a:endParaRPr lang="et-EE" sz="1100"/>
            </a:p>
          </xdr:txBody>
        </xdr:sp>
      </mc:Fallback>
    </mc:AlternateContent>
    <xdr:clientData/>
  </xdr:oneCellAnchor>
  <xdr:oneCellAnchor>
    <xdr:from>
      <xdr:col>19</xdr:col>
      <xdr:colOff>0</xdr:colOff>
      <xdr:row>32</xdr:row>
      <xdr:rowOff>0</xdr:rowOff>
    </xdr:from>
    <xdr:ext cx="7345664" cy="430054"/>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2F09C30-1AF7-489A-B985-60C928925DF9}"/>
                </a:ext>
              </a:extLst>
            </xdr:cNvPr>
            <xdr:cNvSpPr txBox="1"/>
          </xdr:nvSpPr>
          <xdr:spPr>
            <a:xfrm>
              <a:off x="19116675" y="6172200"/>
              <a:ext cx="7345664" cy="430054"/>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t-EE" sz="1100" i="1">
                            <a:solidFill>
                              <a:srgbClr val="836967"/>
                            </a:solidFill>
                            <a:latin typeface="Cambria Math" panose="02040503050406030204" pitchFamily="18" charset="0"/>
                          </a:rPr>
                        </m:ctrlPr>
                      </m:sSubPr>
                      <m:e>
                        <m:r>
                          <a:rPr lang="et-EE" sz="1100" i="1">
                            <a:latin typeface="Cambria Math" panose="02040503050406030204" pitchFamily="18" charset="0"/>
                          </a:rPr>
                          <m:t>𝐹</m:t>
                        </m:r>
                      </m:e>
                      <m:sub>
                        <m:r>
                          <a:rPr lang="en-US" sz="1100" b="0" i="1">
                            <a:latin typeface="Cambria Math" panose="02040503050406030204" pitchFamily="18" charset="0"/>
                          </a:rPr>
                          <m:t>𝑝𝑔𝑟</m:t>
                        </m:r>
                      </m:sub>
                    </m:sSub>
                    <m:r>
                      <a:rPr lang="et-EE" sz="1100" i="0">
                        <a:latin typeface="Cambria Math" panose="02040503050406030204" pitchFamily="18" charset="0"/>
                      </a:rPr>
                      <m:t>=</m:t>
                    </m:r>
                    <m:nary>
                      <m:naryPr>
                        <m:chr m:val="∑"/>
                        <m:limLoc m:val="undOvr"/>
                        <m:grow m:val="on"/>
                        <m:supHide m:val="on"/>
                        <m:ctrlPr>
                          <a:rPr lang="et-EE" sz="1100" i="1">
                            <a:latin typeface="Cambria Math" panose="02040503050406030204" pitchFamily="18" charset="0"/>
                          </a:rPr>
                        </m:ctrlPr>
                      </m:naryPr>
                      <m:sub>
                        <m:r>
                          <a:rPr lang="en-US" sz="1100" b="0" i="1">
                            <a:latin typeface="Cambria Math" panose="02040503050406030204" pitchFamily="18" charset="0"/>
                          </a:rPr>
                          <m:t>𝑝𝑔𝑟</m:t>
                        </m:r>
                      </m:sub>
                      <m:sup/>
                      <m:e>
                        <m:r>
                          <a:rPr lang="en-US" sz="1100" b="0" i="1">
                            <a:latin typeface="Cambria Math" panose="02040503050406030204" pitchFamily="18" charset="0"/>
                          </a:rPr>
                          <m:t>{</m:t>
                        </m:r>
                        <m:r>
                          <a:rPr lang="en-US" sz="1100" b="0" i="1">
                            <a:latin typeface="Cambria Math" panose="02040503050406030204" pitchFamily="18" charset="0"/>
                          </a:rPr>
                          <m:t>𝐴𝑟𝑒𝑎</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r>
                          <a:rPr lang="en-US" sz="1100" b="0" i="1">
                            <a:latin typeface="Cambria Math" panose="02040503050406030204" pitchFamily="18" charset="0"/>
                          </a:rPr>
                          <m:t>𝐶𝑟𝑜𝑝</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𝑎𝑔</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d>
                          <m:dPr>
                            <m:endChr m:val="]"/>
                            <m:ctrlPr>
                              <a:rPr lang="en-US" sz="1100" b="0" i="1">
                                <a:latin typeface="Cambria Math" panose="02040503050406030204" pitchFamily="18" charset="0"/>
                              </a:rPr>
                            </m:ctrlPr>
                          </m:dPr>
                          <m:e>
                            <m:r>
                              <a:rPr lang="en-US" sz="1100" b="0" i="1">
                                <a:latin typeface="Cambria Math" panose="02040503050406030204" pitchFamily="18" charset="0"/>
                              </a:rPr>
                              <m:t>1−</m:t>
                            </m:r>
                            <m:r>
                              <a:rPr lang="en-US" sz="1100" b="0" i="1">
                                <a:latin typeface="Cambria Math" panose="02040503050406030204" pitchFamily="18" charset="0"/>
                              </a:rPr>
                              <m:t>𝐹𝑟𝑎𝑐</m:t>
                            </m:r>
                            <m:r>
                              <a:rPr lang="en-US" sz="1100" b="0" i="1">
                                <a:latin typeface="Cambria Math" panose="02040503050406030204" pitchFamily="18" charset="0"/>
                              </a:rPr>
                              <m:t> </m:t>
                            </m:r>
                            <m:r>
                              <a:rPr lang="en-US" sz="1100" b="0" i="1">
                                <a:latin typeface="Cambria Math" panose="02040503050406030204" pitchFamily="18" charset="0"/>
                              </a:rPr>
                              <m:t>𝑟𝑒𝑚𝑜𝑣𝑒</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e>
                        </m:d>
                        <m:r>
                          <a:rPr lang="en-US" sz="1100" b="0" i="1">
                            <a:latin typeface="Cambria Math" panose="02040503050406030204" pitchFamily="18" charset="0"/>
                          </a:rPr>
                          <m:t>+[</m:t>
                        </m:r>
                        <m:r>
                          <a:rPr lang="en-US" sz="1100" b="0" i="1">
                            <a:latin typeface="Cambria Math" panose="02040503050406030204" pitchFamily="18" charset="0"/>
                          </a:rPr>
                          <m:t>𝐶𝑟𝑜𝑝</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r>
                          <a:rPr lang="en-US" sz="1100" b="0" i="1">
                            <a:latin typeface="Cambria Math" panose="02040503050406030204" pitchFamily="18" charset="0"/>
                          </a:rPr>
                          <m:t>𝑅𝑆</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r>
                          <a:rPr lang="en-US" sz="1100" b="0" i="1">
                            <a:latin typeface="Cambria Math" panose="02040503050406030204" pitchFamily="18" charset="0"/>
                          </a:rPr>
                          <m:t>𝑁</m:t>
                        </m:r>
                        <m:r>
                          <a:rPr lang="en-US" sz="1100" b="0" i="1">
                            <a:latin typeface="Cambria Math" panose="02040503050406030204" pitchFamily="18" charset="0"/>
                          </a:rPr>
                          <m:t> </m:t>
                        </m:r>
                        <m:r>
                          <a:rPr lang="en-US" sz="1100" b="0" i="1">
                            <a:latin typeface="Cambria Math" panose="02040503050406030204" pitchFamily="18" charset="0"/>
                          </a:rPr>
                          <m:t>𝑏𝑔</m:t>
                        </m:r>
                        <m:r>
                          <a:rPr lang="en-US" sz="1100" b="0" i="1">
                            <a:latin typeface="Cambria Math" panose="02040503050406030204" pitchFamily="18" charset="0"/>
                          </a:rPr>
                          <m:t> </m:t>
                        </m:r>
                        <m:d>
                          <m:dPr>
                            <m:ctrlPr>
                              <a:rPr lang="en-US" sz="1100" b="0" i="1">
                                <a:latin typeface="Cambria Math" panose="02040503050406030204" pitchFamily="18" charset="0"/>
                              </a:rPr>
                            </m:ctrlPr>
                          </m:dPr>
                          <m:e>
                            <m:r>
                              <a:rPr lang="en-US" sz="1100" b="0" i="1">
                                <a:latin typeface="Cambria Math" panose="02040503050406030204" pitchFamily="18" charset="0"/>
                              </a:rPr>
                              <m:t>𝑝𝑔𝑟</m:t>
                            </m:r>
                          </m:e>
                        </m:d>
                        <m:r>
                          <a:rPr lang="en-US" sz="1100" b="0" i="1">
                            <a:latin typeface="Cambria Math" panose="02040503050406030204" pitchFamily="18" charset="0"/>
                          </a:rPr>
                          <m:t>]}</m:t>
                        </m:r>
                      </m:e>
                    </m:nary>
                  </m:oMath>
                </m:oMathPara>
              </a14:m>
              <a:endParaRPr lang="et-EE" sz="1100"/>
            </a:p>
          </xdr:txBody>
        </xdr:sp>
      </mc:Choice>
      <mc:Fallback xmlns="">
        <xdr:sp macro="" textlink="">
          <xdr:nvSpPr>
            <xdr:cNvPr id="7" name="TextBox 6">
              <a:extLst>
                <a:ext uri="{FF2B5EF4-FFF2-40B4-BE49-F238E27FC236}">
                  <a16:creationId xmlns:a16="http://schemas.microsoft.com/office/drawing/2014/main" id="{72F09C30-1AF7-489A-B985-60C928925DF9}"/>
                </a:ext>
              </a:extLst>
            </xdr:cNvPr>
            <xdr:cNvSpPr txBox="1"/>
          </xdr:nvSpPr>
          <xdr:spPr>
            <a:xfrm>
              <a:off x="19116675" y="6172200"/>
              <a:ext cx="7345664" cy="430054"/>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t-EE" sz="1100" i="0">
                  <a:latin typeface="Cambria Math" panose="02040503050406030204" pitchFamily="18" charset="0"/>
                </a:rPr>
                <a:t>𝐹</a:t>
              </a:r>
              <a:r>
                <a:rPr lang="et-EE" sz="1100" i="0">
                  <a:solidFill>
                    <a:srgbClr val="836967"/>
                  </a:solidFill>
                  <a:latin typeface="Cambria Math" panose="02040503050406030204" pitchFamily="18" charset="0"/>
                </a:rPr>
                <a:t>_</a:t>
              </a:r>
              <a:r>
                <a:rPr lang="en-US" sz="1100" b="0" i="0">
                  <a:latin typeface="Cambria Math" panose="02040503050406030204" pitchFamily="18" charset="0"/>
                </a:rPr>
                <a:t>𝑝𝑔𝑟</a:t>
              </a:r>
              <a:r>
                <a:rPr lang="et-EE" sz="1100" i="0">
                  <a:latin typeface="Cambria Math" panose="02040503050406030204" pitchFamily="18" charset="0"/>
                </a:rPr>
                <a:t>=∑129</a:t>
              </a:r>
              <a:r>
                <a:rPr lang="en-US" sz="1100" b="0" i="0">
                  <a:latin typeface="Cambria Math" panose="02040503050406030204" pitchFamily="18" charset="0"/>
                </a:rPr>
                <a:t>_𝑝𝑔𝑟▒</a:t>
              </a:r>
              <a:r>
                <a:rPr lang="et-EE" sz="1100" b="0" i="0">
                  <a:latin typeface="Cambria Math" panose="02040503050406030204" pitchFamily="18" charset="0"/>
                </a:rPr>
                <a:t>〖</a:t>
              </a:r>
              <a:r>
                <a:rPr lang="en-US" sz="1100" b="0" i="0">
                  <a:latin typeface="Cambria Math" panose="02040503050406030204" pitchFamily="18" charset="0"/>
                </a:rPr>
                <a:t>{𝐴𝑟𝑒𝑎 (𝑝𝑔𝑟)∗[𝐶𝑟𝑜𝑝 (𝑝𝑔𝑟)∗𝑁 𝑎𝑔 (𝑝𝑔𝑟)∗(1−𝐹𝑟𝑎𝑐 𝑟𝑒𝑚𝑜𝑣𝑒 (𝑝𝑔𝑟))]+[𝐶𝑟𝑜𝑝 (𝑝𝑔𝑟)∗𝑅𝑆 (𝑝𝑔𝑟)∗𝑁 𝑏𝑔 (𝑝𝑔𝑟)]}</a:t>
              </a:r>
              <a:r>
                <a:rPr lang="et-EE" sz="1100" b="0" i="0">
                  <a:latin typeface="Cambria Math" panose="02040503050406030204" pitchFamily="18" charset="0"/>
                </a:rPr>
                <a:t>〗</a:t>
              </a:r>
              <a:endParaRPr lang="et-EE" sz="1100"/>
            </a:p>
          </xdr:txBody>
        </xdr:sp>
      </mc:Fallback>
    </mc:AlternateContent>
    <xdr:clientData/>
  </xdr:oneCellAnchor>
  <xdr:oneCellAnchor>
    <xdr:from>
      <xdr:col>6</xdr:col>
      <xdr:colOff>0</xdr:colOff>
      <xdr:row>95</xdr:row>
      <xdr:rowOff>0</xdr:rowOff>
    </xdr:from>
    <xdr:ext cx="65" cy="172227"/>
    <xdr:sp macro="" textlink="">
      <xdr:nvSpPr>
        <xdr:cNvPr id="8" name="TextBox 7">
          <a:extLst>
            <a:ext uri="{FF2B5EF4-FFF2-40B4-BE49-F238E27FC236}">
              <a16:creationId xmlns:a16="http://schemas.microsoft.com/office/drawing/2014/main" id="{08AA8922-692D-44B2-BC92-2D107C126C7C}"/>
            </a:ext>
          </a:extLst>
        </xdr:cNvPr>
        <xdr:cNvSpPr txBox="1"/>
      </xdr:nvSpPr>
      <xdr:spPr>
        <a:xfrm>
          <a:off x="9286875" y="1838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oneCellAnchor>
    <xdr:from>
      <xdr:col>6</xdr:col>
      <xdr:colOff>0</xdr:colOff>
      <xdr:row>95</xdr:row>
      <xdr:rowOff>0</xdr:rowOff>
    </xdr:from>
    <xdr:ext cx="65" cy="172227"/>
    <xdr:sp macro="" textlink="">
      <xdr:nvSpPr>
        <xdr:cNvPr id="9" name="TextBox 8">
          <a:extLst>
            <a:ext uri="{FF2B5EF4-FFF2-40B4-BE49-F238E27FC236}">
              <a16:creationId xmlns:a16="http://schemas.microsoft.com/office/drawing/2014/main" id="{132F1F94-8CB1-4D87-ACE3-CA39FCE3E69B}"/>
            </a:ext>
          </a:extLst>
        </xdr:cNvPr>
        <xdr:cNvSpPr txBox="1"/>
      </xdr:nvSpPr>
      <xdr:spPr>
        <a:xfrm>
          <a:off x="9286875" y="1838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t-EE" sz="1100"/>
        </a:p>
      </xdr:txBody>
    </xdr:sp>
    <xdr:clientData/>
  </xdr:oneCellAnchor>
</xdr:wsDr>
</file>

<file path=xl/persons/person.xml><?xml version="1.0" encoding="utf-8"?>
<personList xmlns="http://schemas.microsoft.com/office/spreadsheetml/2018/threadedcomments" xmlns:x="http://schemas.openxmlformats.org/spreadsheetml/2006/main">
  <person displayName="Susanna Vain" id="{2B7F9E87-9E26-4870-A269-B78B8A1A9B97}" userId="Susanna Vain" providerId="None"/>
  <person displayName="Madli Jõks" id="{D24CD8FD-CFA3-4156-BA9D-A4195FB4021A}" userId="S::okeoke@ut.ee::8162e556-b63b-45df-9046-e97a08e1caaa" providerId="AD"/>
  <person displayName="Susanna Vain" id="{C893D503-1ECF-4B58-AA4C-446E6027AB4A}" userId="S::susanna@sustinere.ee::3773f924-0c4b-4d72-be2b-8d23069876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5954D8B-9717-451A-BDD3-D93AADF9B786}" name="Table3" displayName="Table3" ref="D19:AV49" headerRowCount="0" totalsRowShown="0" headerRowDxfId="198" dataDxfId="196" headerRowBorderDxfId="197" tableBorderDxfId="195">
  <tableColumns count="45">
    <tableColumn id="1" xr3:uid="{548DCA23-4422-40DA-9851-FB953ADF4CF3}" name="Column1" headerRowDxfId="194" dataDxfId="193"/>
    <tableColumn id="2" xr3:uid="{6E88515D-5990-44FD-8323-A995143EFE15}" name="Column2" headerRowDxfId="192" dataDxfId="191"/>
    <tableColumn id="8" xr3:uid="{8EDA400E-58E5-416C-863E-E3DA57559045}" name="Column3" headerRowDxfId="190" dataDxfId="189"/>
    <tableColumn id="9" xr3:uid="{3D6FCD91-D3C7-4509-980B-92AECBA48CBC}" name="Column4" headerRowDxfId="188" dataDxfId="187">
      <calculatedColumnFormula>G$29+G$30+G$31+G$32</calculatedColumnFormula>
    </tableColumn>
    <tableColumn id="15" xr3:uid="{5068AC6C-213F-49D2-8C80-44563B6825AD}" name="Column5" headerRowDxfId="186" dataDxfId="185" dataCellStyle="Good"/>
    <tableColumn id="16" xr3:uid="{5036C7A1-022F-46BB-8D84-54EDBEA53933}" name="Column6" headerRowDxfId="184" dataDxfId="183" dataCellStyle="Good"/>
    <tableColumn id="17" xr3:uid="{F4FF9E1B-0A05-4D94-BD77-F2453F609191}" name="Column7" headerRowDxfId="182" dataDxfId="181" dataCellStyle="Good"/>
    <tableColumn id="18" xr3:uid="{B1DB7D6E-AAEC-408A-9194-37E4F49717F7}" name="Column8" headerRowDxfId="180" dataDxfId="179" dataCellStyle="Good"/>
    <tableColumn id="19" xr3:uid="{F7C4DDDC-62E5-4AB1-BA0B-713DDB5AB703}" name="Column9" headerRowDxfId="178" dataDxfId="177" dataCellStyle="Good"/>
    <tableColumn id="23" xr3:uid="{E1E55066-4DA9-4C85-BB4C-0E24029E0A42}" name="Column13" headerRowDxfId="176" dataDxfId="175" dataCellStyle="Good"/>
    <tableColumn id="22" xr3:uid="{73A4DC19-7C1B-405C-A6A6-067F5B99A8E3}" name="Column12" headerRowDxfId="174" dataDxfId="173" dataCellStyle="Good"/>
    <tableColumn id="34" xr3:uid="{98F6C6B2-2B4E-4AC4-B8EC-5C9D3532F3FE}" name="Column24" headerRowDxfId="172" dataDxfId="171" dataCellStyle="Good"/>
    <tableColumn id="33" xr3:uid="{47F492AD-85BA-4FB8-BC8E-5D07560B94C0}" name="Column23" headerRowDxfId="170" dataDxfId="169" dataCellStyle="Good"/>
    <tableColumn id="32" xr3:uid="{7741B0C3-6846-42A9-B26C-038723DE25FC}" name="Column22" headerRowDxfId="168" dataDxfId="167" dataCellStyle="Good"/>
    <tableColumn id="31" xr3:uid="{B0AF670D-AA9D-4A61-A6EE-7D43A05912F6}" name="Column21" headerRowDxfId="166" dataDxfId="165" dataCellStyle="Good"/>
    <tableColumn id="30" xr3:uid="{5FF75A6E-B373-465D-B918-3ED9F602B971}" name="Column20" headerRowDxfId="164" dataDxfId="163" dataCellStyle="Good"/>
    <tableColumn id="29" xr3:uid="{B2C61F17-2D6D-4F13-80FD-78EED1F5096C}" name="Column19" headerRowDxfId="162" dataDxfId="161" dataCellStyle="Good"/>
    <tableColumn id="28" xr3:uid="{F34523E7-BDD0-4B29-A09E-948142CEBAA5}" name="Column18" headerRowDxfId="160" dataDxfId="159" dataCellStyle="Good"/>
    <tableColumn id="27" xr3:uid="{A43A8AA0-93B2-47D1-AD85-D53FC374A8F1}" name="Column17" headerRowDxfId="158" dataDxfId="157" dataCellStyle="Good"/>
    <tableColumn id="26" xr3:uid="{B78C8B13-F72D-4184-A89B-CDBDF4DAE8CD}" name="Column16" headerRowDxfId="156" dataDxfId="155" dataCellStyle="Good"/>
    <tableColumn id="25" xr3:uid="{B11C324A-76D0-48A9-827D-A3DADC7ECAE4}" name="Column15" headerRowDxfId="154" dataDxfId="153" dataCellStyle="Good"/>
    <tableColumn id="24" xr3:uid="{2135D6B4-0527-4E63-9EE5-AD3F7EE542ED}" name="Column14" headerRowDxfId="152" dataDxfId="151" dataCellStyle="Good"/>
    <tableColumn id="20" xr3:uid="{27BBF029-493C-4826-946D-801BC151AAEE}" name="Column10" headerRowDxfId="150" dataDxfId="149" dataCellStyle="Good"/>
    <tableColumn id="4" xr3:uid="{4F971D44-E412-45E1-A188-AB66F2BED83D}" name="Column26" headerRowDxfId="148" dataDxfId="147" dataCellStyle="Good"/>
    <tableColumn id="5" xr3:uid="{8096309D-6655-434E-8548-C82873559487}" name="Column27" headerRowDxfId="146" dataDxfId="145" dataCellStyle="Good"/>
    <tableColumn id="6" xr3:uid="{D6A6FBB7-D173-484C-8D01-3D094B8D6352}" name="Column28" headerRowDxfId="144" dataDxfId="143" dataCellStyle="Good"/>
    <tableColumn id="7" xr3:uid="{65D5420F-289B-48FA-B830-B8AD4576C4B7}" name="Column29" headerRowDxfId="142" dataDxfId="141" dataCellStyle="Good"/>
    <tableColumn id="10" xr3:uid="{46954DA9-BB47-40D3-8520-3B067C926A21}" name="Column30" headerRowDxfId="140" dataDxfId="139" dataCellStyle="Good"/>
    <tableColumn id="11" xr3:uid="{B4932EAB-BCCD-45BB-94D4-1A51BD84A379}" name="Column31" headerRowDxfId="138" dataDxfId="137" dataCellStyle="Good"/>
    <tableColumn id="12" xr3:uid="{7D23F589-F46E-4D17-A58B-A7F651D9B585}" name="Column32" headerRowDxfId="136" dataDxfId="135" dataCellStyle="Good"/>
    <tableColumn id="13" xr3:uid="{D95E978B-3D24-408D-A4A0-DA8C996373D2}" name="Column33" headerRowDxfId="134" dataDxfId="133" dataCellStyle="Good"/>
    <tableColumn id="14" xr3:uid="{65BC6B40-D479-4488-B55B-30F59B95BD31}" name="Column34" headerRowDxfId="132" dataDxfId="131" dataCellStyle="Good"/>
    <tableColumn id="35" xr3:uid="{6BA682EC-1309-4DEB-8EB2-57FD8D946E8C}" name="Column35" headerRowDxfId="130" dataDxfId="129" dataCellStyle="Good"/>
    <tableColumn id="36" xr3:uid="{294E0319-06C6-42A8-AFD3-162DD2798699}" name="Column36" headerRowDxfId="128" dataDxfId="127" dataCellStyle="Good"/>
    <tableColumn id="37" xr3:uid="{487809C4-149A-4662-AF4B-6457EA63EA6A}" name="Column37" headerRowDxfId="126" dataDxfId="125" dataCellStyle="Good"/>
    <tableColumn id="38" xr3:uid="{623CE7DC-B863-4521-BBBB-05F332972E3A}" name="Column38" headerRowDxfId="124" dataDxfId="123" dataCellStyle="Good"/>
    <tableColumn id="39" xr3:uid="{39EC773C-F7CE-4D91-98D8-697B9F01E655}" name="Column39" headerRowDxfId="122" dataDxfId="121" dataCellStyle="Good"/>
    <tableColumn id="40" xr3:uid="{3C72F235-1272-4C8A-A4A4-FE1B182E5D65}" name="Column40" headerRowDxfId="120" dataDxfId="119" dataCellStyle="Good"/>
    <tableColumn id="41" xr3:uid="{A46E8FF1-D592-44E9-8098-0EE7E526ECCD}" name="Column41" headerRowDxfId="118" dataDxfId="117" dataCellStyle="Good"/>
    <tableColumn id="42" xr3:uid="{C142BC1F-C85A-4B9D-B5B2-23CFAFF7617D}" name="Column42" headerRowDxfId="116" dataDxfId="115" dataCellStyle="Good"/>
    <tableColumn id="43" xr3:uid="{7A37765D-643A-4752-8315-EDB8ACE9495D}" name="Column43" headerRowDxfId="114" dataDxfId="113" dataCellStyle="Good"/>
    <tableColumn id="44" xr3:uid="{0552BAF4-17E4-47BD-8418-9F9F1B26D9B3}" name="Column44" headerRowDxfId="112" dataDxfId="111" dataCellStyle="Good"/>
    <tableColumn id="45" xr3:uid="{279C1B40-DCBF-4999-8257-A6AE16D2710B}" name="Column45" headerRowDxfId="110" dataDxfId="109" dataCellStyle="Good"/>
    <tableColumn id="46" xr3:uid="{51FE7424-FF9B-4B69-B6AA-89D352562D5D}" name="Column46" headerRowDxfId="108" dataDxfId="107" dataCellStyle="Good"/>
    <tableColumn id="47" xr3:uid="{EC8A908F-C644-4EBE-98C8-3FDA2D1F8C17}" name="Column47" headerRowDxfId="106" dataDxfId="105" dataCellStyle="Good"/>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F35627A-ADB8-4078-A951-B6739406920A}" name="Table4" displayName="Table4" ref="A3:D20" totalsRowShown="0" headerRowDxfId="0" dataDxfId="1">
  <autoFilter ref="A3:D20" xr:uid="{BF35627A-ADB8-4078-A951-B6739406920A}"/>
  <tableColumns count="4">
    <tableColumn id="1" xr3:uid="{14FDC2EF-7783-49C4-858C-2306EE90DA04}" name="Versioon" dataDxfId="5"/>
    <tableColumn id="2" xr3:uid="{4D343106-071A-45AB-91D3-F346AE3808B8}" name="Avaldamise kuupäev" dataDxfId="4"/>
    <tableColumn id="3" xr3:uid="{55AF74B8-5EAC-4A5E-B67D-A97F4184FEAC}" name="Muudatuse kirjeldus" dataDxfId="3"/>
    <tableColumn id="4" xr3:uid="{F396CFAA-94DF-4013-AFE9-5B8398AF91BE}" name="Muudatuse tüüp" dataDxfId="2"/>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950BB0-7C62-4012-AD21-274A488579BA}" name="Table1" displayName="Table1" ref="D52:H151" totalsRowShown="0" headerRowDxfId="104" dataDxfId="102" headerRowBorderDxfId="103" tableBorderDxfId="101">
  <autoFilter ref="D52:H151" xr:uid="{FA950BB0-7C62-4012-AD21-274A488579BA}">
    <filterColumn colId="0" hiddenButton="1"/>
    <filterColumn colId="1" hiddenButton="1"/>
    <filterColumn colId="2" hiddenButton="1"/>
    <filterColumn colId="3" hiddenButton="1"/>
    <filterColumn colId="4" hiddenButton="1"/>
  </autoFilter>
  <tableColumns count="5">
    <tableColumn id="1" xr3:uid="{35CEDE80-5FC0-4C0D-BD2C-53C4DF33BE1E}" name="Column1" dataDxfId="100"/>
    <tableColumn id="2" xr3:uid="{9B3AE3AD-434F-4336-ADDE-A3D1B0BEA72C}" name="Column2" dataDxfId="99"/>
    <tableColumn id="3" xr3:uid="{667F21E0-A40A-4717-9A4F-78E11A230C39}" name="Column3" dataDxfId="98"/>
    <tableColumn id="4" xr3:uid="{D4597177-0706-45B5-943F-44B90B293925}" name="Column4" dataDxfId="97"/>
    <tableColumn id="5" xr3:uid="{BC21927C-CB94-4DF3-92C3-7F2D45FDCD1D}" name="Column5" dataDxfId="9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3303F94-8298-42CC-9F3A-DC993A0EF638}" name="Table6" displayName="Table6" ref="D163:F167" headerRowCount="0" totalsRowShown="0" headerRowDxfId="95" dataDxfId="93" headerRowBorderDxfId="94" tableBorderDxfId="92">
  <tableColumns count="3">
    <tableColumn id="1" xr3:uid="{697033F2-4199-450F-8C24-4C48B08F45FE}" name="Column1" headerRowDxfId="91" dataDxfId="90"/>
    <tableColumn id="2" xr3:uid="{E76080CD-C484-4484-B9E9-0AF85B92FDF9}" name="Column2" headerRowDxfId="89" dataDxfId="88"/>
    <tableColumn id="4" xr3:uid="{758B0EEF-24A2-4728-B1DC-8F1B37FCA772}" name="Column4" headerRowDxfId="87" dataDxfId="86"/>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DCE2A9-3D3A-4058-A5DE-D04B7EACBE9D}" name="Table8" displayName="Table8" ref="D183:G187" headerRowCount="0" totalsRowShown="0" headerRowDxfId="85" dataDxfId="83" headerRowBorderDxfId="84" tableBorderDxfId="82">
  <tableColumns count="4">
    <tableColumn id="1" xr3:uid="{5D78173B-9B96-420E-B78F-256114EB32CF}" name="Taimekasvatuses kasutatud elektrienergia" headerRowDxfId="81" dataDxfId="80"/>
    <tableColumn id="2" xr3:uid="{3E6AC3C1-B466-4D8F-9E44-A1A49F4454B8}" name="Column1" headerRowDxfId="79" dataDxfId="78"/>
    <tableColumn id="3" xr3:uid="{D5C810FD-704A-4F98-A475-45115405EEEE}" name="Column2" headerRowDxfId="77" dataDxfId="76"/>
    <tableColumn id="4" xr3:uid="{FEA5DA9C-08F3-4042-BC48-F40083E6B045}" name="Column3" headerRowDxfId="75" dataDxfId="74" dataCellStyle="Good"/>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D294EA2-A4B9-4775-A77E-2DBE31814569}" name="Table613" displayName="Table613" ref="D155:F159" headerRowCount="0" totalsRowShown="0" headerRowDxfId="73" dataDxfId="71" headerRowBorderDxfId="72" tableBorderDxfId="70">
  <tableColumns count="3">
    <tableColumn id="1" xr3:uid="{66349724-A7CF-4913-9AF1-746861FECDD2}" name="Column1" headerRowDxfId="69" dataDxfId="68"/>
    <tableColumn id="2" xr3:uid="{26FA651E-0B7A-468B-BC69-B8A9003614CF}" name="Column2" headerRowDxfId="67" dataDxfId="66"/>
    <tableColumn id="4" xr3:uid="{C50273F1-64D5-4D73-B58E-858C6C7725D2}" name="Column4" headerRowDxfId="65" dataDxfId="64"/>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9D2C19-DF04-48B0-85AD-F1C48CFDF050}" name="Table83" displayName="Table83" ref="D170:G180" headerRowCount="0" totalsRowShown="0" headerRowDxfId="63" dataDxfId="61" headerRowBorderDxfId="62" tableBorderDxfId="60">
  <tableColumns count="4">
    <tableColumn id="1" xr3:uid="{00907BC0-0150-4110-AA6B-29E1AEE4DBDC}" name="Taimekasvatuses kasutatud elektrienergia" headerRowDxfId="59" dataDxfId="58"/>
    <tableColumn id="2" xr3:uid="{30712C0C-066A-4663-BCF1-BF455C6A9EC4}" name="Column1" headerRowDxfId="57" dataDxfId="56"/>
    <tableColumn id="3" xr3:uid="{BD0F8D01-705A-479D-AFEA-83C0405A5AC9}" name="Column2" headerRowDxfId="55" dataDxfId="54"/>
    <tableColumn id="4" xr3:uid="{1A22C570-D1E3-46EE-A44C-CB736E8ED7D0}" name="Column3" headerRowDxfId="53" dataDxfId="52" dataCellStyle="Good"/>
  </tableColumns>
  <tableStyleInfo name="TableStyleLight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95ABED5-D278-44FA-9538-A080DAD2C8DD}" name="Table32" displayName="Table32" ref="B233:D267" totalsRowShown="0" headerRowDxfId="51" headerRowBorderDxfId="50" tableBorderDxfId="49">
  <autoFilter ref="B233:D267" xr:uid="{195ABED5-D278-44FA-9538-A080DAD2C8DD}">
    <filterColumn colId="0" hiddenButton="1"/>
    <filterColumn colId="1" hiddenButton="1"/>
    <filterColumn colId="2" hiddenButton="1"/>
  </autoFilter>
  <tableColumns count="3">
    <tableColumn id="1" xr3:uid="{45354B8B-EE20-4BFE-90AC-3797F03CCDD2}" name="Sisseostetud taimne sööt" dataDxfId="48"/>
    <tableColumn id="2" xr3:uid="{384FA14A-0DC0-494F-A972-CDA65EF50D75}" name="Riik" dataDxfId="47"/>
    <tableColumn id="3" xr3:uid="{4FE24E89-A5DE-45D9-A959-86FE41AF84CC}" name="Kogus (kg)" dataDxfId="46" dataCellStyle="Good"/>
  </tableColumns>
  <tableStyleInfo name="TableStyleLight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97F3B02-AF02-407F-A77F-49D1885F5A09}" name="Table10" displayName="Table10" ref="B32:C40" totalsRowShown="0" headerRowDxfId="45" headerRowBorderDxfId="44" tableBorderDxfId="43" totalsRowBorderDxfId="42" dataCellStyle="Normal">
  <autoFilter ref="B32:C40" xr:uid="{697F3B02-AF02-407F-A77F-49D1885F5A09}">
    <filterColumn colId="0" hiddenButton="1"/>
    <filterColumn colId="1" hiddenButton="1"/>
  </autoFilter>
  <tableColumns count="2">
    <tableColumn id="1" xr3:uid="{C7A023C3-84A2-4D22-955B-0098B0DB247A}" name="Kontori jäätmed" dataDxfId="41" dataCellStyle="Normal"/>
    <tableColumn id="2" xr3:uid="{04D4E885-0681-4FB5-A10B-F12D85F1DC02}" name="Kogus (t)" dataDxfId="40" dataCellStyle="Good"/>
  </tableColumns>
  <tableStyleInfo name="TableStyleLight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8A729B9-733E-43FA-86A7-5106BDE78EC3}" name="Table13" displayName="Table13" ref="B88:E128" totalsRowShown="0" headerRowBorderDxfId="39" tableBorderDxfId="38" totalsRowBorderDxfId="37">
  <autoFilter ref="B88:E128" xr:uid="{98A729B9-733E-43FA-86A7-5106BDE78EC3}"/>
  <tableColumns count="4">
    <tableColumn id="1" xr3:uid="{7A55D7E2-02CF-4D2F-9C88-6EC56A4F0C09}" name="Töötaja"/>
    <tableColumn id="2" xr3:uid="{A99AC815-2FDF-4C73-A39B-1A961988D7F7}" name="Transpordiliik" dataDxfId="36" dataCellStyle="Good"/>
    <tableColumn id="3" xr3:uid="{EE1B2CD8-2B47-40D1-8D25-7BEDE5506066}" name="Kilomeetreid kodust tööle" dataDxfId="35" dataCellStyle="Good"/>
    <tableColumn id="4" xr3:uid="{FEE74E8A-BF92-434D-B813-103626CD85E7}" name="Tavapärane tööpäevade arv aastas" dataDxfId="34" dataCellStyle="Good"/>
  </tableColumns>
  <tableStyleInfo name="TableStyleLight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3-04-20T12:58:36.04" personId="{2B7F9E87-9E26-4870-A269-B78B8A1A9B97}" id="{DDA64AC3-E2B8-46E0-A863-A05733A056F2}">
    <text>IPCC 2006: Grassland -  according to the national definition, this category includes rangelands and pastureland that is not considered Cropland nor Forest land: land with perennial grasses that is proper for mow and pasture, smaller fallows and former cultural grasslands that have lost arable land features and Grassland from wild lands (‘natural grassland’). An overgrown wooded pasture with a canopy cover between 30 and 50% is classified as Grassland or forest, depending on the mainland-use purpose.</text>
  </threadedComment>
  <threadedComment ref="B8" dT="2023-10-17T17:37:37.80" personId="{C893D503-1ECF-4B58-AA4C-446E6027AB4A}" id="{E2C58621-17CE-4E6F-9059-7B3F08547EF8}">
    <text>turvasmullad on liigutatud eraldi, et oleks paremini nähtav selle mõju jalajälje suursesse</text>
  </threadedComment>
  <threadedComment ref="B52" dT="2023-04-20T12:58:36.04" personId="{2B7F9E87-9E26-4870-A269-B78B8A1A9B97}" id="{69255E72-480B-46C0-8161-E1DF8A96A86D}">
    <text>IPCC 2006: Grassland -  according to the national definition, this category includes rangelands and pastureland that is not considered Cropland nor Forest land: land with perennial grasses that is proper for mow and pasture, smaller fallows and former cultural grasslands that have lost arable land features and Grassland from wild lands (‘natural grassland’). An overgrown wooded pasture with a canopy cover between 30 and 50% is classified as Grassland or forest, depending on the mainland-use purpose.</text>
  </threadedComment>
  <threadedComment ref="B57" dT="2023-03-20T16:14:07.02" personId="{2B7F9E87-9E26-4870-A269-B78B8A1A9B97}" id="{520D3EDD-3A95-40F2-A388-55B66D4EDAB8}">
    <text>Arvutusloogika loomakasvatuse sektsioonist</text>
  </threadedComment>
  <threadedComment ref="B61" dT="2023-03-20T16:14:16.70" personId="{2B7F9E87-9E26-4870-A269-B78B8A1A9B97}" id="{2B6B345F-DF29-4913-B570-C1A8E84D3CCE}">
    <text>Arvutusloogika loomakasvatusest</text>
  </threadedComment>
  <threadedComment ref="C112" dT="2023-06-12T08:49:39.47" personId="{2B7F9E87-9E26-4870-A269-B78B8A1A9B97}" id="{632AEF76-5B0C-49FC-BFD2-8F1BAA8EAC88}">
    <text>broilerite ja noorlindude puhul 0</text>
  </threadedComment>
  <threadedComment ref="B134" dT="2023-06-12T11:12:33.42" personId="{2B7F9E87-9E26-4870-A269-B78B8A1A9B97}" id="{D6A3D8FB-46AF-4772-B8FF-BB97020A2675}">
    <text>aastaringse laudaspidamise korral on väärtus 1</text>
  </threadedComment>
  <threadedComment ref="B140" dT="2023-06-12T11:12:33.42" personId="{2B7F9E87-9E26-4870-A269-B78B8A1A9B97}" id="{FCE06299-1FF0-4521-A454-CF93F34A4494}">
    <text>aastaringse laudaspidamise korral on väärtus 1</text>
  </threadedComment>
  <threadedComment ref="B146" dT="2023-06-12T11:12:33.42" personId="{2B7F9E87-9E26-4870-A269-B78B8A1A9B97}" id="{70B1ACE3-0176-4AE8-9644-0296D5D38E16}">
    <text>aastaringse laudaspidamise korral on väärtus 1</text>
  </threadedComment>
  <threadedComment ref="B154" dT="2023-06-12T11:12:33.42" personId="{2B7F9E87-9E26-4870-A269-B78B8A1A9B97}" id="{F71C0555-45E8-45D1-990C-B921685886D8}">
    <text>aastaringse laudaspidamise korral on väärtus 1</text>
  </threadedComment>
  <threadedComment ref="B159" dT="2023-06-12T11:12:33.42" personId="{2B7F9E87-9E26-4870-A269-B78B8A1A9B97}" id="{484ED5A3-A091-4748-8315-B25075A4C101}">
    <text>aastaringse laudaspidamise korral on väärtus 1</text>
  </threadedComment>
  <threadedComment ref="B162" dT="2023-06-13T08:31:29.59" personId="{2B7F9E87-9E26-4870-A269-B78B8A1A9B97}" id="{D0A2297D-0B42-4F06-9073-A997875A0FE3}">
    <text>söötmispäev on kõik päevad, mil loom on karjas või lind lindlas, välja arvatud tema karjast väljaviimise päev.</text>
  </threadedComment>
  <threadedComment ref="C182" dT="2023-06-12T08:49:39.47" personId="{2B7F9E87-9E26-4870-A269-B78B8A1A9B97}" id="{F229F974-FD55-4515-99EF-6FFD39D05062}">
    <text>broilerite ja noorlindude puhul 0</text>
  </threadedComment>
  <threadedComment ref="B204" dT="2023-06-12T11:12:33.42" personId="{2B7F9E87-9E26-4870-A269-B78B8A1A9B97}" id="{58C1D7FF-A780-4EB7-9101-9271DE27A8C3}">
    <text>aastaringse laudaspidamise korral on väärtus 1</text>
  </threadedComment>
  <threadedComment ref="B210" dT="2023-06-12T11:12:33.42" personId="{2B7F9E87-9E26-4870-A269-B78B8A1A9B97}" id="{84066085-A29C-41EE-A6CA-87F8092F18E1}">
    <text>aastaringse laudaspidamise korral on väärtus 1</text>
  </threadedComment>
  <threadedComment ref="B216" dT="2023-06-12T11:12:33.42" personId="{2B7F9E87-9E26-4870-A269-B78B8A1A9B97}" id="{8632E94E-07E4-4545-8644-E0F53814301B}">
    <text>aastaringse laudaspidamise korral on väärtus 1</text>
  </threadedComment>
  <threadedComment ref="B224" dT="2023-06-12T11:12:33.42" personId="{2B7F9E87-9E26-4870-A269-B78B8A1A9B97}" id="{D5450074-66EC-41F6-8B6F-98383824AF0E}">
    <text>aastaringse laudaspidamise korral on väärtus 1</text>
  </threadedComment>
  <threadedComment ref="B229" dT="2023-06-12T11:12:33.42" personId="{2B7F9E87-9E26-4870-A269-B78B8A1A9B97}" id="{4D870D93-7933-4EA9-90CF-C89D7825A491}">
    <text>aastaringse laudaspidamise korral on väärtus 1</text>
  </threadedComment>
  <threadedComment ref="B232" dT="2023-06-13T08:31:29.59" personId="{2B7F9E87-9E26-4870-A269-B78B8A1A9B97}" id="{AEFA6513-7E98-4751-B4C8-82B14BE27C5F}">
    <text>söötmispäev on kõik päevad, mil loom on karjas või lind lindlas, välja arvatud tema karjast väljaviimise päev.</text>
  </threadedComment>
  <threadedComment ref="C259" dT="2023-06-12T08:39:18.19" personId="{2B7F9E87-9E26-4870-A269-B78B8A1A9B97}" id="{74EA1A58-C9AB-4E2A-BCDD-24C46AA84F89}">
    <text>arvestuslik keskmine juurdekasv piimalehmade puhul 60 kg aastas; täiskasvanud suguemiste puhul see arvestuslikult 0.</text>
  </threadedComment>
  <threadedComment ref="C264" dT="2023-06-12T08:42:38.74" personId="{2B7F9E87-9E26-4870-A269-B78B8A1A9B97}" id="{1E0AEAF4-C1A2-42E8-98A3-756DA5B709E2}">
    <text>iga aastalehma kohta 0,6 vasikat massiga 40 kg.</text>
  </threadedComment>
  <threadedComment ref="B286" dT="2023-06-12T11:12:33.42" personId="{2B7F9E87-9E26-4870-A269-B78B8A1A9B97}" id="{72BE85AC-A925-4A0F-9BC3-6C40D84A6DC5}">
    <text>aastaringse laudaspidamise korral on väärtus 1</text>
  </threadedComment>
  <threadedComment ref="B292" dT="2023-06-12T11:12:33.42" personId="{2B7F9E87-9E26-4870-A269-B78B8A1A9B97}" id="{F9D6BEFD-DF39-4C63-85DF-415C57A41A3A}">
    <text>aastaringse laudaspidamise korral on väärtus 1</text>
  </threadedComment>
  <threadedComment ref="B314" dT="2023-06-13T08:31:29.59" personId="{2B7F9E87-9E26-4870-A269-B78B8A1A9B97}" id="{53C90EB8-FF11-4523-A5E8-5DEE12677528}">
    <text>söötmispäev on kõik päevad, mil loom on karjas või lind lindlas, välja arvatud tema karjast väljaviimise päev.</text>
  </threadedComment>
  <threadedComment ref="C334" dT="2023-06-12T08:39:18.19" personId="{2B7F9E87-9E26-4870-A269-B78B8A1A9B97}" id="{C01B9E3E-131F-487B-A9AA-457A93007FA9}">
    <text>arvestuslik keskmine juurdekasv piimalehmade puhul 60 kg aastas; täiskasvanud suguemiste puhul see arvestuslikult 0.</text>
  </threadedComment>
  <threadedComment ref="C339" dT="2023-06-12T08:42:38.74" personId="{2B7F9E87-9E26-4870-A269-B78B8A1A9B97}" id="{82FB26D7-98E1-4682-82FC-24C690B2C862}">
    <text>iga aastalehma kohta 0,6 vasikat massiga 40 kg.</text>
  </threadedComment>
  <threadedComment ref="B433" dT="2023-05-25T15:40:59.81" personId="{2B7F9E87-9E26-4870-A269-B78B8A1A9B97}" id="{6829A416-2778-47B2-8EFF-D8B67CBAB3CF}">
    <text>vaikeväärtus on 0,01</text>
  </threadedComment>
  <threadedComment ref="B471" dT="2023-05-25T15:40:59.81" personId="{2B7F9E87-9E26-4870-A269-B78B8A1A9B97}" id="{13483815-4402-45CA-B3B0-4E155FB49FF9}">
    <text>vaikeväärtus on 0,01</text>
  </threadedComment>
  <threadedComment ref="B508" dT="2023-05-25T15:40:59.81" personId="{2B7F9E87-9E26-4870-A269-B78B8A1A9B97}" id="{444058D2-FD4E-47C8-92F5-3267E8FF04F6}">
    <text>vaikeväärtus on 0,01</text>
  </threadedComment>
</ThreadedComments>
</file>

<file path=xl/threadedComments/threadedComment2.xml><?xml version="1.0" encoding="utf-8"?>
<ThreadedComments xmlns="http://schemas.microsoft.com/office/spreadsheetml/2018/threadedcomments" xmlns:x="http://schemas.openxmlformats.org/spreadsheetml/2006/main">
  <threadedComment ref="B185" dT="2023-06-12T08:39:18.19" personId="{2B7F9E87-9E26-4870-A269-B78B8A1A9B97}" id="{3AA93782-0BE7-47CE-A735-951896D49DF9}">
    <text>arvestuslik keskmine juurdekasv piimalehmade puhul 60 kg aastas; täiskasvanud suguemiste puhul see arvestuslikult 0.</text>
  </threadedComment>
  <threadedComment ref="AA185" dT="2023-06-12T08:39:18.19" personId="{2B7F9E87-9E26-4870-A269-B78B8A1A9B97}" id="{1EC967DB-C727-4E6C-9577-EDE0BD40B2A0}">
    <text>arvestuslik keskmine juurdekasv piimalehmade puhul 60 kg aastas; täiskasvanud suguemiste puhul see arvestuslikult 0.</text>
  </threadedComment>
  <threadedComment ref="AZ185" dT="2023-06-12T08:39:18.19" personId="{2B7F9E87-9E26-4870-A269-B78B8A1A9B97}" id="{0BABB8D7-F4BF-4662-BAF8-DF14CAFCBF52}">
    <text>arvestuslik keskmine juurdekasv piimalehmade puhul 60 kg aastas; täiskasvanud suguemiste puhul see arvestuslikult 0.</text>
  </threadedComment>
  <threadedComment ref="B190" dT="2023-06-12T08:42:38.74" personId="{2B7F9E87-9E26-4870-A269-B78B8A1A9B97}" id="{E7A9CBA8-98CE-45A8-A9D4-E2CB5366E7C5}">
    <text>iga aastalehma kohta 0,6 vasikat massiga 40 kg.</text>
  </threadedComment>
  <threadedComment ref="AA190" dT="2023-06-12T08:42:38.74" personId="{2B7F9E87-9E26-4870-A269-B78B8A1A9B97}" id="{C1CFBEFC-A052-4435-8AD1-B2BF7B90665C}">
    <text>iga aastalehma kohta 0,6 vasikat massiga 40 kg.</text>
  </threadedComment>
  <threadedComment ref="AZ190" dT="2023-06-12T08:42:38.74" personId="{2B7F9E87-9E26-4870-A269-B78B8A1A9B97}" id="{83CAD8EA-3FD3-4BB4-98BC-B8BA645A975A}">
    <text>iga aastalehma kohta 0,6 vasikat massiga 40 kg.</text>
  </threadedComment>
  <threadedComment ref="A212" dT="2023-06-12T11:12:33.42" personId="{2B7F9E87-9E26-4870-A269-B78B8A1A9B97}" id="{29534B77-351A-4930-ABE9-1A0205AC64AF}">
    <text>aastaringse laudaspidamise korral on väärtus 1</text>
  </threadedComment>
  <threadedComment ref="Z212" dT="2023-06-12T11:12:33.42" personId="{2B7F9E87-9E26-4870-A269-B78B8A1A9B97}" id="{6944F431-28B1-43D9-BDC9-9C83716C619C}">
    <text>aastaringse laudaspidamise korral on väärtus 1</text>
  </threadedComment>
  <threadedComment ref="AY212" dT="2023-06-12T11:12:33.42" personId="{2B7F9E87-9E26-4870-A269-B78B8A1A9B97}" id="{E26BC856-9724-47E2-A9E8-039BE52BD308}">
    <text>aastaringse laudaspidamise korral on väärtus 1</text>
  </threadedComment>
  <threadedComment ref="A218" dT="2023-06-12T11:12:33.42" personId="{2B7F9E87-9E26-4870-A269-B78B8A1A9B97}" id="{32EE6152-ED19-4F19-B4CC-760C5D30C2B0}">
    <text>aastaringse laudaspidamise korral on väärtus 1</text>
  </threadedComment>
  <threadedComment ref="Z218" dT="2023-06-12T11:12:33.42" personId="{2B7F9E87-9E26-4870-A269-B78B8A1A9B97}" id="{D9346A8F-D4EB-4459-B42B-C3FC861F8A2C}">
    <text>aastaringse laudaspidamise korral on väärtus 1</text>
  </threadedComment>
  <threadedComment ref="AY218" dT="2023-06-12T11:12:33.42" personId="{2B7F9E87-9E26-4870-A269-B78B8A1A9B97}" id="{D4946942-2D69-471F-81B3-5824748ECFFE}">
    <text>aastaringse laudaspidamise korral on väärtus 1</text>
  </threadedComment>
  <threadedComment ref="A240" dT="2023-06-13T08:31:29.59" personId="{2B7F9E87-9E26-4870-A269-B78B8A1A9B97}" id="{4C530F84-53F6-458A-B3F2-D89CE4D0DB7D}">
    <text>söötmispäev on kõik päevad, mil loom on karjas või lind lindlas, välja arvatud tema karjast väljaviimise päev.</text>
  </threadedComment>
  <threadedComment ref="Z240" dT="2023-06-13T08:31:29.59" personId="{2B7F9E87-9E26-4870-A269-B78B8A1A9B97}" id="{1D399603-8CA4-4DCF-A8C5-6F054E014D21}">
    <text>söötmispäev on kõik päevad, mil loom on karjas või lind lindlas, välja arvatud tema karjast väljaviimise päev.</text>
  </threadedComment>
  <threadedComment ref="AY240" dT="2023-06-13T08:31:29.59" personId="{2B7F9E87-9E26-4870-A269-B78B8A1A9B97}" id="{EFFB82CA-323F-4E12-A86F-68194B9112E9}">
    <text>söötmispäev on kõik päevad, mil loom on karjas või lind lindlas, välja arvatud tema karjast väljaviimise päev.</text>
  </threadedComment>
  <threadedComment ref="A284" dT="2023-05-25T15:40:59.81" personId="{2B7F9E87-9E26-4870-A269-B78B8A1A9B97}" id="{4D2B6ACB-FE22-44E7-ABFE-02E00E6FB934}">
    <text>vaikeväärtus on 0,01</text>
  </threadedComment>
  <threadedComment ref="M284" dT="2023-05-25T15:40:59.81" personId="{2B7F9E87-9E26-4870-A269-B78B8A1A9B97}" id="{062F4A05-25A4-49CB-AA07-9B51C0896184}">
    <text>vaikeväärtus on 0,01</text>
  </threadedComment>
  <threadedComment ref="Z284" dT="2023-05-25T15:40:59.81" personId="{2B7F9E87-9E26-4870-A269-B78B8A1A9B97}" id="{7F066715-D506-4386-882E-5C90C43EA3D6}">
    <text>vaikeväärtus on 0,01</text>
  </threadedComment>
  <threadedComment ref="M288" dT="2023-05-25T15:40:59.81" personId="{2B7F9E87-9E26-4870-A269-B78B8A1A9B97}" id="{B7F7125F-D135-47DC-A3CE-ABAAB8648F26}">
    <text>vaikeväärtus on 0,01</text>
  </threadedComment>
  <threadedComment ref="Z288" dT="2023-05-25T15:40:59.81" personId="{2B7F9E87-9E26-4870-A269-B78B8A1A9B97}" id="{2755F7DC-DE96-4BBE-B4C7-C578317C7757}">
    <text>vaikeväärtus on 0,01</text>
  </threadedComment>
</ThreadedComments>
</file>

<file path=xl/threadedComments/threadedComment3.xml><?xml version="1.0" encoding="utf-8"?>
<ThreadedComments xmlns="http://schemas.microsoft.com/office/spreadsheetml/2018/threadedcomments" xmlns:x="http://schemas.openxmlformats.org/spreadsheetml/2006/main">
  <threadedComment ref="U19" dT="2023-07-03T08:26:26.40" personId="{D24CD8FD-CFA3-4156-BA9D-A4195FB4021A}" id="{F4A743D9-B13C-43B9-A52F-6557A1FFA6E3}">
    <text>Ei kasuta hetkel, kui raporteeritakse juba kuivainena</text>
  </threadedComment>
  <threadedComment ref="J42" dT="2023-07-03T07:37:18.46" personId="{D24CD8FD-CFA3-4156-BA9D-A4195FB4021A}" id="{002CBB66-8DC6-492A-8786-4D61A2E9B0B6}">
    <text xml:space="preserve">Ei kasuta hetkel, kui raporteeritakse juba KA
</text>
  </threadedComment>
  <threadedComment ref="B43" dT="2023-04-14T10:06:31.96" personId="{2B7F9E87-9E26-4870-A269-B78B8A1A9B97}" id="{CB0D51FE-FE5B-4C2C-B8AB-D8AC5EDDA688}">
    <text>"pasture ground"</text>
  </threadedComment>
</ThreadedComments>
</file>

<file path=xl/threadedComments/threadedComment4.xml><?xml version="1.0" encoding="utf-8"?>
<ThreadedComments xmlns="http://schemas.microsoft.com/office/spreadsheetml/2018/threadedcomments" xmlns:x="http://schemas.openxmlformats.org/spreadsheetml/2006/main">
  <threadedComment ref="K28" dT="2023-04-17T07:44:31.48" personId="{2B7F9E87-9E26-4870-A269-B78B8A1A9B97}" id="{3D341D67-D50B-4799-A208-424AEF014327}">
    <text>siia on veel lisandumas sõnniku arvutusloogikad. need lisame pärast loomakasvatuse läbitöötamist</text>
  </threadedComment>
  <threadedComment ref="A34" dT="2023-04-04T07:24:57.88" personId="{2B7F9E87-9E26-4870-A269-B78B8A1A9B97}" id="{5998BC53-269A-474C-8EAF-22C04DD73ADF}">
    <text>see on hetkel kõrvale jäetud, kuna ei ole Eesti kontekstis asjakohane</text>
  </threadedComment>
  <threadedComment ref="A34" dT="2023-04-11T08:32:11.71" personId="{2B7F9E87-9E26-4870-A269-B78B8A1A9B97}" id="{26E1DD03-6BD7-4774-A53C-5829612AC50E}" parentId="{5998BC53-269A-474C-8EAF-22C04DD73ADF}">
    <text>NIR 2023: In 2021, N2O emissions from mineralization of the loss of soil organic matter did not occur. Since 1990, the emissions have occurred only in 1991 and 1992, respective amounts of N2O were 0.024 and 0.008 kt. In other years, since 1990, the carbon stock in mineral soils has increased compared to the previous year and thus the N2O emissions have not occurred. N2O emissions are being reported only about the years when carbon stock in mineral soils has decreased compared to the previous year (lk 275).</text>
  </threadedComment>
  <threadedComment ref="T34" dT="2023-04-17T08:22:45.21" personId="{2B7F9E87-9E26-4870-A269-B78B8A1A9B97}" id="{DFD25720-0D8E-4099-8AEC-759C30C7732E}">
    <text>lahendaks selle nii, et põllumajandustootja sisestab eraldi pindala iga kultuuri kohta, juhtudele, kus  eemaldatakse seeme ja põhk ning kus ainult seeme.</text>
  </threadedComment>
  <threadedComment ref="A41" dT="2023-04-20T12:58:36.04" personId="{2B7F9E87-9E26-4870-A269-B78B8A1A9B97}" id="{FBE5D664-D1FB-4E8F-843B-BBFE42381D83}">
    <text>IPCC 2006: Grassland -  according to the national definition, this category includes rangelands and pastureland that is not considered Cropland nor Forest land: land with perennial grasses that is proper for mow and pasture, smaller fallows and former cultural grasslands that have lost arable land features and Grassland from wild lands (‘natural grassland’). An overgrown wooded pasture with a canopy cover between 30 and 50% is classified as Grassland or forest, depending on the mainland-use purpose.</text>
  </threadedComment>
  <threadedComment ref="A46" dT="2023-03-20T16:14:07.02" personId="{2B7F9E87-9E26-4870-A269-B78B8A1A9B97}" id="{C1F69000-1F82-4817-938E-33F58D476FF2}">
    <text>Arvutusloogika loomakasvatuse sektsioonist</text>
  </threadedComment>
  <threadedComment ref="T46" dT="2023-04-17T08:22:45.21" personId="{2B7F9E87-9E26-4870-A269-B78B8A1A9B97}" id="{CD7D7F26-B0FB-44D2-B8AD-B8556CE1C5CA}">
    <text>lahendaks selle nii, et põllumajandustootja sisestab eraldi pindala iga kultuuri kohta, juhtudele, kus  eemaldatakse seeme ja põhk ning kus ainult seeme.</text>
  </threadedComment>
  <threadedComment ref="A47" dT="2023-03-20T16:14:16.70" personId="{2B7F9E87-9E26-4870-A269-B78B8A1A9B97}" id="{CA17A74A-779F-4218-A266-8D239310027B}">
    <text>Arvutusloogika loomakasvatusest</text>
  </threadedComment>
  <threadedComment ref="H49" dT="2023-04-17T07:57:56.91" personId="{2B7F9E87-9E26-4870-A269-B78B8A1A9B97}" id="{0F58B0A0-D4C1-4C90-8A37-7408CB4B0DEA}">
    <text>lisandub pärast loomakasvatuse läbitöötamist</text>
  </threadedComment>
  <threadedComment ref="U55" dT="2023-04-17T09:04:50.90" personId="{2B7F9E87-9E26-4870-A269-B78B8A1A9B97}" id="{25D78321-B1BD-443E-89F5-261B0EEAA25E}">
    <text>Emissioonide taimsetest jäänustest arvestatakse vaid uuendamisega püsirohumaade puhul! (IPCC 2006)</text>
  </threadedComment>
  <threadedComment ref="T59" dT="2023-04-17T08:22:45.21" personId="{2B7F9E87-9E26-4870-A269-B78B8A1A9B97}" id="{7E32C1DC-BF3F-4911-825F-1D2456D44D7F}">
    <text>lahendaks selle nii, et põllumajandustootja sisestab eraldi pindala iga kultuuri kohta, juhtudele, kus  eemaldatakse seeme ja põhk ning kus ainult seeme.</text>
  </threadedComment>
  <threadedComment ref="A82" dT="2023-04-04T07:24:57.88" personId="{2B7F9E87-9E26-4870-A269-B78B8A1A9B97}" id="{9338C5AF-8A07-47CF-BC7E-A4D528E6D085}">
    <text>see on hetkel kõrvale jäetud</text>
  </threadedComment>
  <threadedComment ref="B92" dT="2023-04-11T07:34:40.78" personId="{2B7F9E87-9E26-4870-A269-B78B8A1A9B97}" id="{896F3694-E72D-4DFD-BA61-A011B3ACCC21}">
    <text>See on keskmine. Eristab veel ka sünteetiliste väetiste alusel:
uurea - 0,15
ammooniumbaasil väetis - 0,08
nitraatbaasil väetis - 0,01
AN-baasil väetis - 0,05</text>
  </threadedComment>
  <threadedComment ref="B92" dT="2023-04-11T07:37:59.62" personId="{2B7F9E87-9E26-4870-A269-B78B8A1A9B97}" id="{F97C27FD-8ED0-4079-9713-4E46AA3ED917}" parentId="{896F3694-E72D-4DFD-BA61-A011B3ACCC21}">
    <text>Keskmine on arvutatud maailmas enimkasutatud väetiste osakaalusid arvesse võttes.</text>
  </threadedComment>
</ThreadedComments>
</file>

<file path=xl/threadedComments/threadedComment5.xml><?xml version="1.0" encoding="utf-8"?>
<ThreadedComments xmlns="http://schemas.microsoft.com/office/spreadsheetml/2018/threadedcomments" xmlns:x="http://schemas.openxmlformats.org/spreadsheetml/2006/main">
  <threadedComment ref="B24" dT="2023-04-11T07:34:40.78" personId="{2B7F9E87-9E26-4870-A269-B78B8A1A9B97}" id="{3BD751E2-AABB-494F-91B9-E3FA780FD22F}">
    <text>See on keskmine. Eristab veel ka sünteetiliste väetiste alusel:
uurea - 0,15
ammooniumbaasil väetis - 0,08
nitraatbaasil väetis - 0,01
AN-baasil väetis - 0,05</text>
  </threadedComment>
  <threadedComment ref="B24" dT="2023-04-11T07:37:59.62" personId="{2B7F9E87-9E26-4870-A269-B78B8A1A9B97}" id="{DD169B62-4559-473D-A009-80F6A3238EBC}" parentId="{3BD751E2-AABB-494F-91B9-E3FA780FD22F}">
    <text>Keskmine on arvutatud maailmas enimkasutatud väetiste osakaalusid arvesse võttes.</text>
  </threadedComment>
  <threadedComment ref="A66" dT="2023-04-18T14:24:08.83" personId="{2B7F9E87-9E26-4870-A269-B78B8A1A9B97}" id="{B1F6B681-A3AB-45E2-B497-14939C1C1AB3}">
    <text>mitte liblikõielised</text>
  </threadedComment>
  <threadedComment ref="A80" dT="2023-04-14T10:06:31.96" personId="{2B7F9E87-9E26-4870-A269-B78B8A1A9B97}" id="{ADA86B7D-2767-42E4-A654-C3CEB71DDC5D}">
    <text>"pasture ground"</text>
  </threadedComment>
</ThreadedComments>
</file>

<file path=xl/threadedComments/threadedComment6.xml><?xml version="1.0" encoding="utf-8"?>
<ThreadedComments xmlns="http://schemas.microsoft.com/office/spreadsheetml/2018/threadedcomments" xmlns:x="http://schemas.openxmlformats.org/spreadsheetml/2006/main">
  <threadedComment ref="O39" dT="2023-05-24T11:43:34.31" personId="{2B7F9E87-9E26-4870-A269-B78B8A1A9B97}" id="{B5338881-4B99-4249-A204-0A8FCD2C6229}">
    <text>IPCC 2006: The manure from pasture and range grazing animals is allowed to lie as deposited, and is not
managed.</text>
  </threadedComment>
  <threadedComment ref="O40" dT="2023-05-24T11:43:47.14" personId="{2B7F9E87-9E26-4870-A269-B78B8A1A9B97}" id="{DC9E8B77-8310-40CB-99FF-2800F765107F}">
    <text>IPCC 2006: Manure is routinely removed from a confinement facility and is applied to cropland or pasture
within 24 hours of excretion.</text>
  </threadedComment>
  <threadedComment ref="O41" dT="2023-05-24T11:44:29.17" personId="{2B7F9E87-9E26-4870-A269-B78B8A1A9B97}" id="{E47EDDD3-BF46-40EE-B3FC-DC29E8489144}">
    <text>The storage of manure, typically for a period of several months, in unconfined piles or stacks.
Manure is able to be stacked due to the presence of a sufficient amount of bedding material or
loss of moisture by evaporation.</text>
  </threadedComment>
  <threadedComment ref="O42" dT="2023-05-24T11:46:02.32" personId="{2B7F9E87-9E26-4870-A269-B78B8A1A9B97}" id="{392C751D-6667-4E15-BA59-63FF81091B4E}">
    <text>A paved or unpaved open confinement area without any significant vegetative cover where
accumulating manure may be removed periodically</text>
  </threadedComment>
  <threadedComment ref="O43" dT="2023-05-24T11:48:33.56" personId="{2B7F9E87-9E26-4870-A269-B78B8A1A9B97}" id="{A025A6EC-5994-474D-90E6-FB318050F535}">
    <text>Manure is stored as excreted or with some minimal addition of water in either tanks or earthen
ponds outside the animal housing, usually for periods less than one year</text>
  </threadedComment>
  <threadedComment ref="O43" dT="2023-06-16T12:39:35.99" personId="{2B7F9E87-9E26-4870-A269-B78B8A1A9B97}" id="{92E49134-65EC-4C9A-8A52-197A1B26918E}" parentId="{A025A6EC-5994-474D-90E6-FB318050F535}">
    <text>IPCC 2019: või kattega</text>
  </threadedComment>
  <threadedComment ref="O45" dT="2023-05-24T11:48:57.84" personId="{2B7F9E87-9E26-4870-A269-B78B8A1A9B97}" id="{0B69F3AB-B349-4FBD-8F02-47673B6E13E1}">
    <text>A type of liquid storage system designed and operated to combine waste stabilization and
storage. Lagoon supernatant is usually used to remove manure from the associated confinement
facilities to the lagoon. Anaerobic lagoons are designed with varying lengths of storage (up to a
year or greater), depending on the climate region, the volatile solids loading rate, and other
operational factors. The water from the lagoon may be recycled as flush water or used to irrigate
and fertilise fields.</text>
  </threadedComment>
  <threadedComment ref="O48" dT="2023-05-24T11:50:21.36" personId="{2B7F9E87-9E26-4870-A269-B78B8A1A9B97}" id="{1C8C7539-FB34-4703-9BA4-02F1B2AE3988}">
    <text>Animal excreta with or without straw are collected and anaerobically digested in a large
containment vessel or covered lagoon. Digesters are designed and operated for waste
stabilization by the microbial reduction of complex organic compounds to CO2 and CH4, which
is captured and flared or used as a fuel.</text>
  </threadedComment>
  <threadedComment ref="O49" dT="2023-05-24T11:53:26.10" personId="{2B7F9E87-9E26-4870-A269-B78B8A1A9B97}" id="{1B8AB896-2583-4290-9A29-90D983B2F78A}">
    <text>Composting, typically in an enclosed channel, with forced aeration and continuous mixing. 
Composting in piles with forced aeration but no mixing.</text>
  </threadedComment>
  <threadedComment ref="O50" dT="2023-05-24T11:53:55.77" personId="{2B7F9E87-9E26-4870-A269-B78B8A1A9B97}" id="{0E7576AF-CB1B-4A08-8149-0E0DACC4EA8D}">
    <text>Composting in windrows with regular (at least daily) turning for mixing and aeration.
Composting in windrows with infrequent turning for mixing and aeration.</text>
  </threadedComment>
  <threadedComment ref="B69" dT="2023-05-25T15:40:59.81" personId="{2B7F9E87-9E26-4870-A269-B78B8A1A9B97}" id="{36F86538-A832-47A2-90DC-B26E395CFFBD}">
    <text>vaikeväärtus on 0,01</text>
  </threadedComment>
  <threadedComment ref="U95" dT="2023-06-01T13:48:29.08" personId="{2B7F9E87-9E26-4870-A269-B78B8A1A9B97}" id="{F51FA82D-AF41-42D8-86B3-E8F6AAC3A2D7}">
    <text>+/- 15%</text>
  </threadedComment>
  <threadedComment ref="P107" dT="2023-05-24T11:54:08.02" personId="{2B7F9E87-9E26-4870-A269-B78B8A1A9B97}" id="{EE72443B-316C-4858-99FA-D95473ADA6A3}">
    <text>Similar to cattle and swine deep bedding except usually not combined with a dry lot or pasture.
Typically used for all poultry breeder flocks and for the production of meat type chickens
(broilers) and other fowl.</text>
  </threadedComment>
  <threadedComment ref="P108" dT="2023-05-24T11:54:20.15" personId="{2B7F9E87-9E26-4870-A269-B78B8A1A9B97}" id="{80E969A9-E9F2-4815-B6A1-D4DA32D6B522}">
    <text>May be similar to open pits in enclosed animal confinement facilities or may be designed and
operated to dry the manure as it accumulates. The latter is known as a high-rise manure
management system and is a form of passive windrow composting when designed and operated
properly.</text>
  </threadedComment>
  <threadedComment ref="P115" dT="2023-05-24T11:43:34.31" personId="{2B7F9E87-9E26-4870-A269-B78B8A1A9B97}" id="{FCE979E1-246E-4F07-A47A-23EE347D2A60}">
    <text>IPCC 2006: The manure from pasture and range grazing animals is allowed to lie as deposited, and is not
managed.</text>
  </threadedComment>
  <threadedComment ref="P116" dT="2023-05-24T11:54:08.02" personId="{2B7F9E87-9E26-4870-A269-B78B8A1A9B97}" id="{7D058325-19BB-4B45-B29F-983ED621D393}">
    <text>Similar to cattle and swine deep bedding except usually not combined with a dry lot or pasture.
Typically used for all poultry breeder flocks and for the production of meat type chickens
(broilers) and other fowl.</text>
  </threadedComment>
  <threadedComment ref="P117" dT="2023-05-24T11:54:20.15" personId="{2B7F9E87-9E26-4870-A269-B78B8A1A9B97}" id="{31AD8CAD-E482-4017-A09E-682DD3970E9D}">
    <text>May be similar to open pits in enclosed animal confinement facilities or may be designed and
operated to dry the manure as it accumulates. The latter is known as a high-rise manure
management system and is a form of passive windrow composting when designed and operated
properly.</text>
  </threadedComment>
  <threadedComment ref="B142" dT="2023-05-25T15:40:59.81" personId="{2B7F9E87-9E26-4870-A269-B78B8A1A9B97}" id="{A82AE050-C069-4E3A-A06B-CA705F54F649}">
    <text>vaikeväärtus on 0,01</text>
  </threadedComment>
  <threadedComment ref="B146" dT="2023-05-25T15:42:43.27" personId="{2B7F9E87-9E26-4870-A269-B78B8A1A9B97}" id="{47EFAFA2-8651-445B-BBFD-204F36E87E10}">
    <text>seda soovitatakse kasutada vaid juhul kui on riigipõhised andmed olemas, sest N leostumist sõnnikukäitlususüsteemist on väga keeruline prognoosida ja mõõtemääramatus võib olla suur</text>
  </threadedComment>
  <threadedComment ref="B154" dT="2023-05-25T15:42:10.07" personId="{2B7F9E87-9E26-4870-A269-B78B8A1A9B97}" id="{DF108831-151C-445D-B34D-531A2BCDD6E8}">
    <text>tüüpiliselt 1-20% vahel</text>
  </threadedComment>
  <threadedComment ref="B162" dT="2023-05-25T15:40:59.81" personId="{2B7F9E87-9E26-4870-A269-B78B8A1A9B97}" id="{41077727-AF1D-4704-8EA1-E105C48E27C0}">
    <text>vaikeväärtus on 0,011 (IPCC 2019)</text>
  </threadedComment>
  <threadedComment ref="K186" dT="2023-06-13T08:31:29.59" personId="{2B7F9E87-9E26-4870-A269-B78B8A1A9B97}" id="{F25C4A18-4C01-4A21-B36D-A78AC2B4E9D8}">
    <text>söötmispäev on kõik päevad, mil loom on karjas või lind lindlas, välja arvatud tema karjast väljaviimise päev.</text>
  </threadedComment>
  <threadedComment ref="B194" dT="2023-06-12T08:39:18.19" personId="{2B7F9E87-9E26-4870-A269-B78B8A1A9B97}" id="{00C6E139-ABB4-46F1-83F8-1EA5C84B234D}">
    <text>arvestuslik keskmine juurdekasv piimalehmade puhul 60 kg aastas; täiskasvanud suguemiste puhul see arvestuslikult 0.</text>
  </threadedComment>
  <threadedComment ref="B202" dT="2023-06-12T08:42:38.74" personId="{2B7F9E87-9E26-4870-A269-B78B8A1A9B97}" id="{9FF61FE8-AAA3-471B-B5C3-81745C2D32F4}">
    <text>iga aastalehma kohta 0,6 vasikat massiga 40 kg.</text>
  </threadedComment>
  <threadedComment ref="B216" dT="2023-06-12T08:49:39.47" personId="{2B7F9E87-9E26-4870-A269-B78B8A1A9B97}" id="{884EA7ED-7CA9-4F67-A450-720BAA3F4869}">
    <text>broilerite ja noorlindude puhul 0</text>
  </threadedComment>
  <threadedComment ref="A238" dT="2023-06-12T11:12:33.42" personId="{2B7F9E87-9E26-4870-A269-B78B8A1A9B97}" id="{D3154FC6-280E-4442-B6B3-017182EEC4F8}">
    <text>aastaringse laudaspidamise korral on väärtus 1</text>
  </threadedComment>
  <threadedComment ref="A247" dT="2023-06-12T11:12:33.42" personId="{2B7F9E87-9E26-4870-A269-B78B8A1A9B97}" id="{6795FB61-58D5-4EF3-999A-352A75187FEA}">
    <text>aastaringse laudaspidamise korral on väärtus 1</text>
  </threadedComment>
  <threadedComment ref="A257" dT="2023-06-12T11:12:33.42" personId="{2B7F9E87-9E26-4870-A269-B78B8A1A9B97}" id="{352CACF6-A776-4BC9-96EB-FA86A79F3460}">
    <text>aastaringse laudaspidamise korral on väärtus 1</text>
  </threadedComment>
  <threadedComment ref="A269" dT="2023-06-12T11:12:33.42" personId="{2B7F9E87-9E26-4870-A269-B78B8A1A9B97}" id="{C95B766C-25F9-40B5-B5FD-1AFE2692CAC6}">
    <text>aastaringse laudaspidamise korral on väärtus 1</text>
  </threadedComment>
  <threadedComment ref="A277" dT="2023-06-12T11:12:33.42" personId="{2B7F9E87-9E26-4870-A269-B78B8A1A9B97}" id="{8797A177-D952-4C22-BE28-3DCFE1D29E14}">
    <text>aastaringse laudaspidamise korral on väärtus 1</text>
  </threadedComment>
</ThreadedComments>
</file>

<file path=xl/threadedComments/threadedComment7.xml><?xml version="1.0" encoding="utf-8"?>
<ThreadedComments xmlns="http://schemas.microsoft.com/office/spreadsheetml/2018/threadedcomments" xmlns:x="http://schemas.openxmlformats.org/spreadsheetml/2006/main">
  <threadedComment ref="L20" dT="2023-06-13T08:31:29.59" personId="{2B7F9E87-9E26-4870-A269-B78B8A1A9B97}" id="{0783A818-2BDA-4E4E-8024-30B18A275195}">
    <text>söötmispäev on kõik päevad, mil loom on karjas või lind lindlas, välja arvatud tema karjast väljaviimise päev.</text>
  </threadedComment>
  <threadedComment ref="C28" dT="2023-06-12T08:39:18.19" personId="{2B7F9E87-9E26-4870-A269-B78B8A1A9B97}" id="{CE26B51F-7046-4502-9B20-197BA8D7BE75}">
    <text>arvestuslik keskmine juurdekasv piimalehmade puhul 60 kg aastas; täiskasvanud suguemiste puhul see arvestuslikult 0.</text>
  </threadedComment>
  <threadedComment ref="C36" dT="2023-06-12T08:42:38.74" personId="{2B7F9E87-9E26-4870-A269-B78B8A1A9B97}" id="{4CAED96F-7AE4-4DC0-93AC-F82E05A15D6F}">
    <text>iga aastalehma kohta 0,6 vasikat massiga 40 kg.</text>
  </threadedComment>
  <threadedComment ref="C50" dT="2023-06-12T08:49:39.47" personId="{2B7F9E87-9E26-4870-A269-B78B8A1A9B97}" id="{31F7C2D9-B66D-4426-8386-3475F164A00B}">
    <text>broilerite ja noorlindude puhul 0</text>
  </threadedComment>
  <threadedComment ref="B72" dT="2023-06-12T11:12:33.42" personId="{2B7F9E87-9E26-4870-A269-B78B8A1A9B97}" id="{2EBCE282-8DF1-49A1-8FBC-1B014587B5D2}">
    <text>aastaringse laudaspidamise korral on väärtus 1</text>
  </threadedComment>
  <threadedComment ref="B81" dT="2023-06-12T11:12:33.42" personId="{2B7F9E87-9E26-4870-A269-B78B8A1A9B97}" id="{01CD34F9-731A-4563-AF76-BF45772A7011}">
    <text>aastaringse laudaspidamise korral on väärtus 1</text>
  </threadedComment>
  <threadedComment ref="B91" dT="2023-06-12T11:12:33.42" personId="{2B7F9E87-9E26-4870-A269-B78B8A1A9B97}" id="{22AEA2EC-6D89-4FFD-81B5-D247B84CEA1E}">
    <text>aastaringse laudaspidamise korral on väärtus 1</text>
  </threadedComment>
  <threadedComment ref="B103" dT="2023-06-12T11:12:33.42" personId="{2B7F9E87-9E26-4870-A269-B78B8A1A9B97}" id="{85281EDA-2A14-49A8-B5AE-ADFE762E7155}">
    <text>aastaringse laudaspidamise korral on väärtus 1</text>
  </threadedComment>
  <threadedComment ref="B111" dT="2023-06-12T11:12:33.42" personId="{2B7F9E87-9E26-4870-A269-B78B8A1A9B97}" id="{CB8D7676-AB92-41AF-B362-3FDCDDDF27F4}">
    <text>aastaringse laudaspidamise korral on väärtus 1</text>
  </threadedComment>
  <threadedComment ref="P160" dT="2023-05-24T11:43:34.31" personId="{2B7F9E87-9E26-4870-A269-B78B8A1A9B97}" id="{D2EFCE88-CA71-4081-A5E5-A167E40CB40F}">
    <text>IPCC 2006: The manure from pasture and range grazing animals is allowed to lie as deposited, and is not
managed.</text>
  </threadedComment>
  <threadedComment ref="P161" dT="2023-05-24T11:54:08.02" personId="{2B7F9E87-9E26-4870-A269-B78B8A1A9B97}" id="{6EFB73BB-BBB8-43F9-B966-C3DBBFEAF0F8}">
    <text>Similar to cattle and swine deep bedding except usually not combined with a dry lot or pasture.
Typically used for all poultry breeder flocks and for the production of meat type chickens
(broilers) and other fowl.</text>
  </threadedComment>
  <threadedComment ref="P162" dT="2023-05-24T11:54:20.15" personId="{2B7F9E87-9E26-4870-A269-B78B8A1A9B97}" id="{268B9DDB-FF23-45BF-B4D1-70236B09360F}">
    <text>May be similar to open pits in enclosed animal confinement facilities or may be designed and
operated to dry the manure as it accumulates. The latter is known as a high-rise manure
management system and is a form of passive windrow composting when designed and operated
properly.</text>
  </threadedComment>
  <threadedComment ref="B187" dT="2023-05-25T15:40:59.81" personId="{2B7F9E87-9E26-4870-A269-B78B8A1A9B97}" id="{6E059685-6A65-48DF-9C21-7420F3735878}">
    <text>vaikeväärtus on 0,01</text>
  </threadedComment>
  <threadedComment ref="O221" dT="2023-05-24T11:43:34.31" personId="{2B7F9E87-9E26-4870-A269-B78B8A1A9B97}" id="{575C5834-8C55-48F7-82AD-190D50E33A6D}">
    <text>IPCC 2006: The manure from pasture and range grazing animals is allowed to lie as deposited, and is not
managed.</text>
  </threadedComment>
  <threadedComment ref="O222" dT="2023-05-24T11:43:47.14" personId="{2B7F9E87-9E26-4870-A269-B78B8A1A9B97}" id="{72A7748A-B619-4F8D-A365-1CA4D5639BCD}">
    <text>IPCC 2006: Manure is routinely removed from a confinement facility and is applied to cropland or pasture
within 24 hours of excretion.</text>
  </threadedComment>
  <threadedComment ref="O223" dT="2023-05-24T11:44:29.17" personId="{2B7F9E87-9E26-4870-A269-B78B8A1A9B97}" id="{C6B1B52F-0479-4971-888A-24CA4F91948B}">
    <text>The storage of manure, typically for a period of several months, in unconfined piles or stacks.
Manure is able to be stacked due to the presence of a sufficient amount of bedding material or
loss of moisture by evaporation.</text>
  </threadedComment>
  <threadedComment ref="O224" dT="2023-05-24T11:46:02.32" personId="{2B7F9E87-9E26-4870-A269-B78B8A1A9B97}" id="{A6086ABB-51F8-4C75-982F-CFA65BC88F5A}">
    <text>A paved or unpaved open confinement area without any significant vegetative cover where
accumulating manure may be removed periodically</text>
  </threadedComment>
  <threadedComment ref="O225" dT="2023-05-24T11:48:33.56" personId="{2B7F9E87-9E26-4870-A269-B78B8A1A9B97}" id="{9E919D55-A50D-4638-932A-D16633CDBA64}">
    <text>Manure is stored as excreted or with some minimal addition of water in either tanks or earthen
ponds outside the animal housing, usually for periods less than one year</text>
  </threadedComment>
  <threadedComment ref="O225" dT="2023-06-16T12:39:35.99" personId="{2B7F9E87-9E26-4870-A269-B78B8A1A9B97}" id="{B3C7EBDF-A4AF-4A93-9DCE-77C4E8BF5005}" parentId="{9E919D55-A50D-4638-932A-D16633CDBA64}">
    <text>IPCC 2019: või kattega</text>
  </threadedComment>
  <threadedComment ref="O227" dT="2023-05-24T11:48:57.84" personId="{2B7F9E87-9E26-4870-A269-B78B8A1A9B97}" id="{5EA56335-7B6E-40E0-8881-EE5603918104}">
    <text>A type of liquid storage system designed and operated to combine waste stabilization and
storage. Lagoon supernatant is usually used to remove manure from the associated confinement
facilities to the lagoon. Anaerobic lagoons are designed with varying lengths of storage (up to a
year or greater), depending on the climate region, the volatile solids loading rate, and other
operational factors. The water from the lagoon may be recycled as flush water or used to irrigate
and fertilise fields.</text>
  </threadedComment>
  <threadedComment ref="O230" dT="2023-05-24T11:50:21.36" personId="{2B7F9E87-9E26-4870-A269-B78B8A1A9B97}" id="{E51BFE8B-3A3B-424C-8228-B050FA94F11D}">
    <text>Animal excreta with or without straw are collected and anaerobically digested in a large
containment vessel or covered lagoon. Digesters are designed and operated for waste
stabilization by the microbial reduction of complex organic compounds to CO2 and CH4, which
is captured and flared or used as a fuel.</text>
  </threadedComment>
  <threadedComment ref="O231" dT="2023-05-24T11:53:26.10" personId="{2B7F9E87-9E26-4870-A269-B78B8A1A9B97}" id="{6EB1D98A-9CD3-47C4-A303-6E2A86851A9B}">
    <text>Composting, typically in an enclosed channel, with forced aeration and continuous mixing. 
Composting in piles with forced aeration but no mixing.</text>
  </threadedComment>
  <threadedComment ref="O232" dT="2023-05-24T11:53:55.77" personId="{2B7F9E87-9E26-4870-A269-B78B8A1A9B97}" id="{35BB444F-1C37-4A39-BFAD-3A7BCD6241D6}">
    <text>Composting in windrows with regular (at least daily) turning for mixing and aeration.
Composting in windrows with infrequent turning for mixing and aeration.</text>
  </threadedComment>
  <threadedComment ref="B251" dT="2023-05-25T15:40:59.81" personId="{2B7F9E87-9E26-4870-A269-B78B8A1A9B97}" id="{210C9489-E391-4CCF-BCA1-D631D82F4AFF}">
    <text>vaikeväärtus on 0,01</text>
  </threadedComment>
</ThreadedComments>
</file>

<file path=xl/threadedComments/threadedComment8.xml><?xml version="1.0" encoding="utf-8"?>
<ThreadedComments xmlns="http://schemas.microsoft.com/office/spreadsheetml/2018/threadedcomments" xmlns:x="http://schemas.openxmlformats.org/spreadsheetml/2006/main">
  <threadedComment ref="K9" dT="2023-04-17T07:44:31.48" personId="{2B7F9E87-9E26-4870-A269-B78B8A1A9B97}" id="{2F86A1C6-B7EA-4455-8906-0146CB132311}">
    <text>siia on veel lisandumas sõnniku arvutusloogikad. need lisame pärast loomakasvatuse läbitöötamist</text>
  </threadedComment>
  <threadedComment ref="T15" dT="2023-04-17T08:22:45.21" personId="{2B7F9E87-9E26-4870-A269-B78B8A1A9B97}" id="{07F0798A-E656-462A-804E-DDEFC785AB31}">
    <text>lahendaks selle nii, et põllumajandustootja sisestab eraldi pindala iga kultuuri kohta, juhtudele, kus  eemaldatakse seeme ja põhk ning kus ainult seeme.</text>
  </threadedComment>
  <threadedComment ref="A22" dT="2023-04-20T12:58:36.04" personId="{2B7F9E87-9E26-4870-A269-B78B8A1A9B97}" id="{27F08BEC-9367-497B-A2A3-C8FE4FA4703C}">
    <text>IPCC 2006: Grassland -  according to the national definition, this category includes rangelands and pastureland that is not considered Cropland nor Forest land: land with perennial grasses that is proper for mow and pasture, smaller fallows and former cultural grasslands that have lost arable land features and Grassland from wild lands (‘natural grassland’). An overgrown wooded pasture with a canopy cover between 30 and 50% is classified as Grassland or forest, depending on the mainland-use purpose.</text>
  </threadedComment>
  <threadedComment ref="A27" dT="2023-03-20T16:14:07.02" personId="{2B7F9E87-9E26-4870-A269-B78B8A1A9B97}" id="{7A23FCB3-B437-4827-8661-2D7C54E5D2AA}">
    <text>Arvutusloogika loomakasvatuse sektsioonist</text>
  </threadedComment>
  <threadedComment ref="T27" dT="2023-04-17T08:22:45.21" personId="{2B7F9E87-9E26-4870-A269-B78B8A1A9B97}" id="{F34B1700-8FFD-4D5A-A313-3C7BA6E80E56}">
    <text>lahendaks selle nii, et põllumajandustootja sisestab eraldi pindala iga kultuuri kohta, juhtudele, kus  eemaldatakse seeme ja põhk ning kus ainult seeme.</text>
  </threadedComment>
  <threadedComment ref="A28" dT="2023-03-20T16:14:16.70" personId="{2B7F9E87-9E26-4870-A269-B78B8A1A9B97}" id="{D52B0438-11AC-41B7-8DE4-76C0B9395ED8}">
    <text>Arvutusloogika loomakasvatusest</text>
  </threadedComment>
  <threadedComment ref="H30" dT="2023-04-17T07:57:56.91" personId="{2B7F9E87-9E26-4870-A269-B78B8A1A9B97}" id="{896055CF-BC51-44E1-90C7-06FF9110DA5C}">
    <text>lisandub pärast loomakasvatuse läbitöötamist</text>
  </threadedComment>
  <threadedComment ref="T36" dT="2023-04-17T09:04:50.90" personId="{2B7F9E87-9E26-4870-A269-B78B8A1A9B97}" id="{9DC6E55A-DDF0-44E2-B289-1A4BF08CB64A}">
    <text>Emissioonide taimsetest jäänustest arvestatakse vaid uuendamisega püsirohumaade puhul! (IPCC 2006)</text>
  </threadedComment>
  <threadedComment ref="T40" dT="2023-04-17T08:22:45.21" personId="{2B7F9E87-9E26-4870-A269-B78B8A1A9B97}" id="{0CC5E46A-9D8F-4899-B962-CC55AE5F763D}">
    <text>lahendaks selle nii, et põllumajandustootja sisestab eraldi pindala iga kultuuri kohta, juhtudele, kus  eemaldatakse seeme ja põhk ning kus ainult seeme.</text>
  </threadedComment>
  <threadedComment ref="A62" dT="2023-04-04T07:24:57.88" personId="{2B7F9E87-9E26-4870-A269-B78B8A1A9B97}" id="{32282727-B0D1-4ADC-8121-F10FB31D9E72}">
    <text>see on hetkel kõrvale jäetud</text>
  </threadedComment>
  <threadedComment ref="B72" dT="2023-04-11T07:34:40.78" personId="{2B7F9E87-9E26-4870-A269-B78B8A1A9B97}" id="{D2C20423-6047-4BA6-8FE8-B6A24FC53435}">
    <text>See on keskmine. Eristab veel ka sünteetiliste väetiste alusel:
uurea - 0,15
ammooniumbaasil väetis - 0,08
nitraatbaasil väetis - 0,01
AN-baasil väetis - 0,05</text>
  </threadedComment>
  <threadedComment ref="B72" dT="2023-04-11T07:37:59.62" personId="{2B7F9E87-9E26-4870-A269-B78B8A1A9B97}" id="{A5C7F090-7825-4AEB-807F-6EA6C7933022}" parentId="{D2C20423-6047-4BA6-8FE8-B6A24FC53435}">
    <text>Keskmine on arvutatud maailmas enimkasutatud väetiste osakaalusid arvesse võttes.</text>
  </threadedComment>
  <threadedComment ref="A153" dT="2023-04-18T14:24:08.83" personId="{2B7F9E87-9E26-4870-A269-B78B8A1A9B97}" id="{989C64BB-A54A-483E-9B1A-545A57D522A0}">
    <text>mitte liblikõielised</text>
  </threadedComment>
  <threadedComment ref="A160" dT="2023-04-14T10:06:31.96" personId="{2B7F9E87-9E26-4870-A269-B78B8A1A9B97}" id="{B0246C96-1317-4A3A-BF46-E4E56649F309}">
    <text>"pasture ground"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xml"/><Relationship Id="rId4" Type="http://schemas.microsoft.com/office/2017/10/relationships/threadedComment" Target="../threadedComments/threadedComment4.xml"/></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microsoft.com/office/2017/10/relationships/threadedComment" Target="../threadedComments/threadedComment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7.xml"/></Relationships>
</file>

<file path=xl/worksheets/_rels/sheet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table" Target="../tables/table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A384-F2AA-4B2E-A9BA-EDA2ABF9A70C}">
  <sheetPr codeName="Sheet1">
    <tabColor rgb="FFC00000"/>
  </sheetPr>
  <dimension ref="A1:BD890"/>
  <sheetViews>
    <sheetView showGridLines="0" tabSelected="1" zoomScale="70" zoomScaleNormal="70" workbookViewId="0">
      <selection activeCell="D49" sqref="D49"/>
    </sheetView>
  </sheetViews>
  <sheetFormatPr defaultColWidth="8.54296875" defaultRowHeight="14.5"/>
  <cols>
    <col min="1" max="3" width="8.54296875" style="29"/>
    <col min="4" max="4" width="11.453125" customWidth="1"/>
    <col min="20" max="56" width="8.54296875" style="29"/>
  </cols>
  <sheetData>
    <row r="1" spans="4:19" s="29" customFormat="1"/>
    <row r="2" spans="4:19" s="29" customFormat="1"/>
    <row r="3" spans="4:19" s="29" customFormat="1"/>
    <row r="4" spans="4:19" s="29" customFormat="1"/>
    <row r="5" spans="4:19" s="29" customFormat="1"/>
    <row r="6" spans="4:19" s="29" customFormat="1" ht="15" thickBot="1"/>
    <row r="7" spans="4:19">
      <c r="D7" s="1181" t="s">
        <v>2580</v>
      </c>
      <c r="E7" s="1182"/>
      <c r="F7" s="1182"/>
      <c r="G7" s="1182"/>
      <c r="H7" s="1182"/>
      <c r="I7" s="1182"/>
      <c r="J7" s="1182"/>
      <c r="K7" s="1182"/>
      <c r="L7" s="1182"/>
      <c r="M7" s="1182"/>
      <c r="N7" s="1182"/>
      <c r="O7" s="1182"/>
      <c r="P7" s="1182"/>
      <c r="Q7" s="1182"/>
      <c r="R7" s="1182"/>
      <c r="S7" s="1183"/>
    </row>
    <row r="8" spans="4:19">
      <c r="D8" s="1184"/>
      <c r="E8" s="1185"/>
      <c r="F8" s="1185"/>
      <c r="G8" s="1185"/>
      <c r="H8" s="1185"/>
      <c r="I8" s="1185"/>
      <c r="J8" s="1185"/>
      <c r="K8" s="1185"/>
      <c r="L8" s="1185"/>
      <c r="M8" s="1185"/>
      <c r="N8" s="1185"/>
      <c r="O8" s="1185"/>
      <c r="P8" s="1185"/>
      <c r="Q8" s="1185"/>
      <c r="R8" s="1185"/>
      <c r="S8" s="1186"/>
    </row>
    <row r="9" spans="4:19">
      <c r="D9" s="1184"/>
      <c r="E9" s="1185"/>
      <c r="F9" s="1185"/>
      <c r="G9" s="1185"/>
      <c r="H9" s="1185"/>
      <c r="I9" s="1185"/>
      <c r="J9" s="1185"/>
      <c r="K9" s="1185"/>
      <c r="L9" s="1185"/>
      <c r="M9" s="1185"/>
      <c r="N9" s="1185"/>
      <c r="O9" s="1185"/>
      <c r="P9" s="1185"/>
      <c r="Q9" s="1185"/>
      <c r="R9" s="1185"/>
      <c r="S9" s="1186"/>
    </row>
    <row r="10" spans="4:19">
      <c r="D10" s="1184"/>
      <c r="E10" s="1185"/>
      <c r="F10" s="1185"/>
      <c r="G10" s="1185"/>
      <c r="H10" s="1185"/>
      <c r="I10" s="1185"/>
      <c r="J10" s="1185"/>
      <c r="K10" s="1185"/>
      <c r="L10" s="1185"/>
      <c r="M10" s="1185"/>
      <c r="N10" s="1185"/>
      <c r="O10" s="1185"/>
      <c r="P10" s="1185"/>
      <c r="Q10" s="1185"/>
      <c r="R10" s="1185"/>
      <c r="S10" s="1186"/>
    </row>
    <row r="11" spans="4:19">
      <c r="D11" s="1184"/>
      <c r="E11" s="1185"/>
      <c r="F11" s="1185"/>
      <c r="G11" s="1185"/>
      <c r="H11" s="1185"/>
      <c r="I11" s="1185"/>
      <c r="J11" s="1185"/>
      <c r="K11" s="1185"/>
      <c r="L11" s="1185"/>
      <c r="M11" s="1185"/>
      <c r="N11" s="1185"/>
      <c r="O11" s="1185"/>
      <c r="P11" s="1185"/>
      <c r="Q11" s="1185"/>
      <c r="R11" s="1185"/>
      <c r="S11" s="1186"/>
    </row>
    <row r="12" spans="4:19">
      <c r="D12" s="1184"/>
      <c r="E12" s="1185"/>
      <c r="F12" s="1185"/>
      <c r="G12" s="1185"/>
      <c r="H12" s="1185"/>
      <c r="I12" s="1185"/>
      <c r="J12" s="1185"/>
      <c r="K12" s="1185"/>
      <c r="L12" s="1185"/>
      <c r="M12" s="1185"/>
      <c r="N12" s="1185"/>
      <c r="O12" s="1185"/>
      <c r="P12" s="1185"/>
      <c r="Q12" s="1185"/>
      <c r="R12" s="1185"/>
      <c r="S12" s="1186"/>
    </row>
    <row r="13" spans="4:19">
      <c r="D13" s="1184"/>
      <c r="E13" s="1185"/>
      <c r="F13" s="1185"/>
      <c r="G13" s="1185"/>
      <c r="H13" s="1185"/>
      <c r="I13" s="1185"/>
      <c r="J13" s="1185"/>
      <c r="K13" s="1185"/>
      <c r="L13" s="1185"/>
      <c r="M13" s="1185"/>
      <c r="N13" s="1185"/>
      <c r="O13" s="1185"/>
      <c r="P13" s="1185"/>
      <c r="Q13" s="1185"/>
      <c r="R13" s="1185"/>
      <c r="S13" s="1186"/>
    </row>
    <row r="14" spans="4:19">
      <c r="D14" s="1184"/>
      <c r="E14" s="1185"/>
      <c r="F14" s="1185"/>
      <c r="G14" s="1185"/>
      <c r="H14" s="1185"/>
      <c r="I14" s="1185"/>
      <c r="J14" s="1185"/>
      <c r="K14" s="1185"/>
      <c r="L14" s="1185"/>
      <c r="M14" s="1185"/>
      <c r="N14" s="1185"/>
      <c r="O14" s="1185"/>
      <c r="P14" s="1185"/>
      <c r="Q14" s="1185"/>
      <c r="R14" s="1185"/>
      <c r="S14" s="1186"/>
    </row>
    <row r="15" spans="4:19">
      <c r="D15" s="1184"/>
      <c r="E15" s="1185"/>
      <c r="F15" s="1185"/>
      <c r="G15" s="1185"/>
      <c r="H15" s="1185"/>
      <c r="I15" s="1185"/>
      <c r="J15" s="1185"/>
      <c r="K15" s="1185"/>
      <c r="L15" s="1185"/>
      <c r="M15" s="1185"/>
      <c r="N15" s="1185"/>
      <c r="O15" s="1185"/>
      <c r="P15" s="1185"/>
      <c r="Q15" s="1185"/>
      <c r="R15" s="1185"/>
      <c r="S15" s="1186"/>
    </row>
    <row r="16" spans="4:19">
      <c r="D16" s="1184"/>
      <c r="E16" s="1185"/>
      <c r="F16" s="1185"/>
      <c r="G16" s="1185"/>
      <c r="H16" s="1185"/>
      <c r="I16" s="1185"/>
      <c r="J16" s="1185"/>
      <c r="K16" s="1185"/>
      <c r="L16" s="1185"/>
      <c r="M16" s="1185"/>
      <c r="N16" s="1185"/>
      <c r="O16" s="1185"/>
      <c r="P16" s="1185"/>
      <c r="Q16" s="1185"/>
      <c r="R16" s="1185"/>
      <c r="S16" s="1186"/>
    </row>
    <row r="17" spans="4:19">
      <c r="D17" s="1184"/>
      <c r="E17" s="1185"/>
      <c r="F17" s="1185"/>
      <c r="G17" s="1185"/>
      <c r="H17" s="1185"/>
      <c r="I17" s="1185"/>
      <c r="J17" s="1185"/>
      <c r="K17" s="1185"/>
      <c r="L17" s="1185"/>
      <c r="M17" s="1185"/>
      <c r="N17" s="1185"/>
      <c r="O17" s="1185"/>
      <c r="P17" s="1185"/>
      <c r="Q17" s="1185"/>
      <c r="R17" s="1185"/>
      <c r="S17" s="1186"/>
    </row>
    <row r="18" spans="4:19">
      <c r="D18" s="1184"/>
      <c r="E18" s="1185"/>
      <c r="F18" s="1185"/>
      <c r="G18" s="1185"/>
      <c r="H18" s="1185"/>
      <c r="I18" s="1185"/>
      <c r="J18" s="1185"/>
      <c r="K18" s="1185"/>
      <c r="L18" s="1185"/>
      <c r="M18" s="1185"/>
      <c r="N18" s="1185"/>
      <c r="O18" s="1185"/>
      <c r="P18" s="1185"/>
      <c r="Q18" s="1185"/>
      <c r="R18" s="1185"/>
      <c r="S18" s="1186"/>
    </row>
    <row r="19" spans="4:19">
      <c r="D19" s="1184"/>
      <c r="E19" s="1185"/>
      <c r="F19" s="1185"/>
      <c r="G19" s="1185"/>
      <c r="H19" s="1185"/>
      <c r="I19" s="1185"/>
      <c r="J19" s="1185"/>
      <c r="K19" s="1185"/>
      <c r="L19" s="1185"/>
      <c r="M19" s="1185"/>
      <c r="N19" s="1185"/>
      <c r="O19" s="1185"/>
      <c r="P19" s="1185"/>
      <c r="Q19" s="1185"/>
      <c r="R19" s="1185"/>
      <c r="S19" s="1186"/>
    </row>
    <row r="20" spans="4:19">
      <c r="D20" s="1184"/>
      <c r="E20" s="1185"/>
      <c r="F20" s="1185"/>
      <c r="G20" s="1185"/>
      <c r="H20" s="1185"/>
      <c r="I20" s="1185"/>
      <c r="J20" s="1185"/>
      <c r="K20" s="1185"/>
      <c r="L20" s="1185"/>
      <c r="M20" s="1185"/>
      <c r="N20" s="1185"/>
      <c r="O20" s="1185"/>
      <c r="P20" s="1185"/>
      <c r="Q20" s="1185"/>
      <c r="R20" s="1185"/>
      <c r="S20" s="1186"/>
    </row>
    <row r="21" spans="4:19">
      <c r="D21" s="1184"/>
      <c r="E21" s="1185"/>
      <c r="F21" s="1185"/>
      <c r="G21" s="1185"/>
      <c r="H21" s="1185"/>
      <c r="I21" s="1185"/>
      <c r="J21" s="1185"/>
      <c r="K21" s="1185"/>
      <c r="L21" s="1185"/>
      <c r="M21" s="1185"/>
      <c r="N21" s="1185"/>
      <c r="O21" s="1185"/>
      <c r="P21" s="1185"/>
      <c r="Q21" s="1185"/>
      <c r="R21" s="1185"/>
      <c r="S21" s="1186"/>
    </row>
    <row r="22" spans="4:19">
      <c r="D22" s="1184"/>
      <c r="E22" s="1185"/>
      <c r="F22" s="1185"/>
      <c r="G22" s="1185"/>
      <c r="H22" s="1185"/>
      <c r="I22" s="1185"/>
      <c r="J22" s="1185"/>
      <c r="K22" s="1185"/>
      <c r="L22" s="1185"/>
      <c r="M22" s="1185"/>
      <c r="N22" s="1185"/>
      <c r="O22" s="1185"/>
      <c r="P22" s="1185"/>
      <c r="Q22" s="1185"/>
      <c r="R22" s="1185"/>
      <c r="S22" s="1186"/>
    </row>
    <row r="23" spans="4:19">
      <c r="D23" s="1184"/>
      <c r="E23" s="1185"/>
      <c r="F23" s="1185"/>
      <c r="G23" s="1185"/>
      <c r="H23" s="1185"/>
      <c r="I23" s="1185"/>
      <c r="J23" s="1185"/>
      <c r="K23" s="1185"/>
      <c r="L23" s="1185"/>
      <c r="M23" s="1185"/>
      <c r="N23" s="1185"/>
      <c r="O23" s="1185"/>
      <c r="P23" s="1185"/>
      <c r="Q23" s="1185"/>
      <c r="R23" s="1185"/>
      <c r="S23" s="1186"/>
    </row>
    <row r="24" spans="4:19">
      <c r="D24" s="1184"/>
      <c r="E24" s="1185"/>
      <c r="F24" s="1185"/>
      <c r="G24" s="1185"/>
      <c r="H24" s="1185"/>
      <c r="I24" s="1185"/>
      <c r="J24" s="1185"/>
      <c r="K24" s="1185"/>
      <c r="L24" s="1185"/>
      <c r="M24" s="1185"/>
      <c r="N24" s="1185"/>
      <c r="O24" s="1185"/>
      <c r="P24" s="1185"/>
      <c r="Q24" s="1185"/>
      <c r="R24" s="1185"/>
      <c r="S24" s="1186"/>
    </row>
    <row r="25" spans="4:19">
      <c r="D25" s="1184"/>
      <c r="E25" s="1185"/>
      <c r="F25" s="1185"/>
      <c r="G25" s="1185"/>
      <c r="H25" s="1185"/>
      <c r="I25" s="1185"/>
      <c r="J25" s="1185"/>
      <c r="K25" s="1185"/>
      <c r="L25" s="1185"/>
      <c r="M25" s="1185"/>
      <c r="N25" s="1185"/>
      <c r="O25" s="1185"/>
      <c r="P25" s="1185"/>
      <c r="Q25" s="1185"/>
      <c r="R25" s="1185"/>
      <c r="S25" s="1186"/>
    </row>
    <row r="26" spans="4:19">
      <c r="D26" s="1184"/>
      <c r="E26" s="1185"/>
      <c r="F26" s="1185"/>
      <c r="G26" s="1185"/>
      <c r="H26" s="1185"/>
      <c r="I26" s="1185"/>
      <c r="J26" s="1185"/>
      <c r="K26" s="1185"/>
      <c r="L26" s="1185"/>
      <c r="M26" s="1185"/>
      <c r="N26" s="1185"/>
      <c r="O26" s="1185"/>
      <c r="P26" s="1185"/>
      <c r="Q26" s="1185"/>
      <c r="R26" s="1185"/>
      <c r="S26" s="1186"/>
    </row>
    <row r="27" spans="4:19">
      <c r="D27" s="1184"/>
      <c r="E27" s="1185"/>
      <c r="F27" s="1185"/>
      <c r="G27" s="1185"/>
      <c r="H27" s="1185"/>
      <c r="I27" s="1185"/>
      <c r="J27" s="1185"/>
      <c r="K27" s="1185"/>
      <c r="L27" s="1185"/>
      <c r="M27" s="1185"/>
      <c r="N27" s="1185"/>
      <c r="O27" s="1185"/>
      <c r="P27" s="1185"/>
      <c r="Q27" s="1185"/>
      <c r="R27" s="1185"/>
      <c r="S27" s="1186"/>
    </row>
    <row r="28" spans="4:19">
      <c r="D28" s="1184"/>
      <c r="E28" s="1185"/>
      <c r="F28" s="1185"/>
      <c r="G28" s="1185"/>
      <c r="H28" s="1185"/>
      <c r="I28" s="1185"/>
      <c r="J28" s="1185"/>
      <c r="K28" s="1185"/>
      <c r="L28" s="1185"/>
      <c r="M28" s="1185"/>
      <c r="N28" s="1185"/>
      <c r="O28" s="1185"/>
      <c r="P28" s="1185"/>
      <c r="Q28" s="1185"/>
      <c r="R28" s="1185"/>
      <c r="S28" s="1186"/>
    </row>
    <row r="29" spans="4:19" ht="50.25" customHeight="1" thickBot="1">
      <c r="D29" s="1187"/>
      <c r="E29" s="1188"/>
      <c r="F29" s="1188"/>
      <c r="G29" s="1188"/>
      <c r="H29" s="1188"/>
      <c r="I29" s="1188"/>
      <c r="J29" s="1188"/>
      <c r="K29" s="1188"/>
      <c r="L29" s="1188"/>
      <c r="M29" s="1188"/>
      <c r="N29" s="1188"/>
      <c r="O29" s="1188"/>
      <c r="P29" s="1188"/>
      <c r="Q29" s="1188"/>
      <c r="R29" s="1188"/>
      <c r="S29" s="1189"/>
    </row>
    <row r="30" spans="4:19" s="29" customFormat="1"/>
    <row r="31" spans="4:19" s="29" customFormat="1"/>
    <row r="32" spans="4:19" s="29" customFormat="1">
      <c r="D32" s="467"/>
    </row>
    <row r="33" spans="4:19" s="29" customFormat="1" ht="62.15" customHeight="1">
      <c r="D33" s="1190"/>
      <c r="E33" s="1190"/>
      <c r="F33" s="1190"/>
      <c r="G33" s="1190"/>
      <c r="H33" s="1190"/>
      <c r="I33" s="1190"/>
      <c r="J33" s="1190"/>
      <c r="K33" s="1190"/>
      <c r="L33" s="1190"/>
      <c r="M33" s="1190"/>
      <c r="N33" s="1190"/>
      <c r="O33" s="1190"/>
      <c r="P33" s="1190"/>
      <c r="Q33" s="1190"/>
      <c r="R33" s="1190"/>
      <c r="S33" s="1190"/>
    </row>
    <row r="34" spans="4:19" s="29" customFormat="1" ht="120" customHeight="1">
      <c r="D34" s="1190"/>
      <c r="E34" s="1190"/>
      <c r="F34" s="1190"/>
      <c r="G34" s="1190"/>
      <c r="H34" s="1190"/>
      <c r="I34" s="1190"/>
      <c r="J34" s="1190"/>
      <c r="K34" s="1190"/>
      <c r="L34" s="1190"/>
      <c r="M34" s="1190"/>
      <c r="N34" s="1190"/>
      <c r="O34" s="1190"/>
      <c r="P34" s="1190"/>
      <c r="Q34" s="1190"/>
      <c r="R34" s="1190"/>
      <c r="S34" s="1190"/>
    </row>
    <row r="35" spans="4:19" s="29" customFormat="1"/>
    <row r="36" spans="4:19" s="29" customFormat="1"/>
    <row r="37" spans="4:19" s="29" customFormat="1"/>
    <row r="38" spans="4:19" s="29" customFormat="1"/>
    <row r="39" spans="4:19" s="29" customFormat="1"/>
    <row r="40" spans="4:19" s="29" customFormat="1"/>
    <row r="41" spans="4:19" s="29" customFormat="1"/>
    <row r="42" spans="4:19" s="29" customFormat="1"/>
    <row r="43" spans="4:19" s="29" customFormat="1"/>
    <row r="44" spans="4:19" s="29" customFormat="1"/>
    <row r="45" spans="4:19" s="29" customFormat="1"/>
    <row r="46" spans="4:19" s="29" customFormat="1"/>
    <row r="47" spans="4:19" s="29" customFormat="1"/>
    <row r="48" spans="4:19" s="29" customFormat="1"/>
    <row r="49" s="29" customFormat="1"/>
    <row r="50" s="29" customFormat="1"/>
    <row r="51" s="29" customFormat="1"/>
    <row r="52" s="29" customFormat="1"/>
    <row r="53" s="29" customFormat="1"/>
    <row r="54" s="29" customFormat="1"/>
    <row r="55" s="29" customFormat="1"/>
    <row r="56" s="29" customFormat="1"/>
    <row r="57" s="29" customFormat="1"/>
    <row r="58" s="29" customFormat="1"/>
    <row r="59" s="29" customFormat="1"/>
    <row r="60" s="29" customFormat="1"/>
    <row r="61" s="29" customFormat="1"/>
    <row r="62" s="29" customFormat="1"/>
    <row r="63" s="29" customFormat="1"/>
    <row r="64" s="29" customFormat="1"/>
    <row r="65" s="29" customFormat="1"/>
    <row r="66" s="29" customFormat="1"/>
    <row r="67" s="29" customFormat="1"/>
    <row r="68" s="29" customFormat="1"/>
    <row r="69" s="29" customFormat="1"/>
    <row r="70" s="29" customFormat="1"/>
    <row r="71" s="29" customFormat="1"/>
    <row r="72" s="29" customFormat="1"/>
    <row r="73" s="29" customFormat="1"/>
    <row r="74" s="29" customFormat="1"/>
    <row r="75" s="29" customFormat="1"/>
    <row r="76" s="29" customFormat="1"/>
    <row r="77" s="29" customFormat="1"/>
    <row r="78" s="29" customFormat="1"/>
    <row r="79" s="29" customFormat="1"/>
    <row r="80" s="29" customFormat="1"/>
    <row r="81" s="29" customFormat="1"/>
    <row r="82" s="29" customFormat="1"/>
    <row r="83" s="29" customFormat="1"/>
    <row r="84" s="29" customFormat="1"/>
    <row r="85" s="29" customFormat="1"/>
    <row r="86" s="29" customFormat="1"/>
    <row r="87" s="29" customFormat="1"/>
    <row r="88" s="29" customFormat="1"/>
    <row r="89" s="29" customFormat="1"/>
    <row r="90" s="29" customFormat="1"/>
    <row r="91" s="29" customFormat="1"/>
    <row r="92" s="29" customFormat="1"/>
    <row r="93" s="29" customFormat="1"/>
    <row r="94" s="29" customFormat="1"/>
    <row r="95" s="29" customFormat="1"/>
    <row r="96" s="29" customFormat="1"/>
    <row r="97" s="29" customFormat="1"/>
    <row r="98" s="29" customFormat="1"/>
    <row r="99" s="29" customFormat="1"/>
    <row r="100" s="29" customFormat="1"/>
    <row r="101" s="29" customFormat="1"/>
    <row r="102" s="29" customFormat="1"/>
    <row r="103" s="29" customFormat="1"/>
    <row r="104" s="29" customFormat="1"/>
    <row r="105" s="29" customFormat="1"/>
    <row r="106" s="29" customFormat="1"/>
    <row r="107" s="29" customFormat="1"/>
    <row r="108" s="29" customFormat="1"/>
    <row r="109" s="29" customFormat="1"/>
    <row r="110" s="29" customFormat="1"/>
    <row r="111" s="29" customFormat="1"/>
    <row r="112" s="29" customFormat="1"/>
    <row r="113" s="29" customFormat="1"/>
    <row r="114" s="29" customFormat="1"/>
    <row r="115" s="29" customFormat="1"/>
    <row r="116" s="29" customFormat="1"/>
    <row r="117" s="29" customFormat="1"/>
    <row r="118" s="29" customFormat="1"/>
    <row r="119" s="29" customFormat="1"/>
    <row r="120" s="29" customFormat="1"/>
    <row r="121" s="29" customFormat="1"/>
    <row r="122" s="29" customFormat="1"/>
    <row r="123" s="29" customFormat="1"/>
    <row r="124" s="29" customFormat="1"/>
    <row r="125" s="29" customFormat="1"/>
    <row r="126" s="29" customFormat="1"/>
    <row r="127" s="29" customFormat="1"/>
    <row r="128" s="29" customFormat="1"/>
    <row r="129" s="29" customFormat="1"/>
    <row r="130" s="29" customFormat="1"/>
    <row r="131" s="29" customFormat="1"/>
    <row r="132" s="29" customFormat="1"/>
    <row r="133" s="29" customFormat="1"/>
    <row r="134" s="29" customFormat="1"/>
    <row r="135" s="29" customFormat="1"/>
    <row r="136" s="29" customFormat="1"/>
    <row r="137" s="29" customFormat="1"/>
    <row r="138" s="29" customFormat="1"/>
    <row r="139" s="29" customFormat="1"/>
    <row r="140" s="29" customFormat="1"/>
    <row r="141" s="29" customFormat="1"/>
    <row r="142" s="29" customFormat="1"/>
    <row r="143" s="29" customFormat="1"/>
    <row r="144" s="29" customFormat="1"/>
    <row r="145" s="29" customFormat="1"/>
    <row r="146" s="29" customFormat="1"/>
    <row r="147" s="29" customFormat="1"/>
    <row r="148" s="29" customFormat="1"/>
    <row r="149" s="29" customFormat="1"/>
    <row r="150" s="29" customFormat="1"/>
    <row r="151" s="29" customFormat="1"/>
    <row r="152" s="29" customFormat="1"/>
    <row r="153" s="29" customFormat="1"/>
    <row r="154" s="29" customFormat="1"/>
    <row r="155" s="29" customFormat="1"/>
    <row r="156" s="29" customFormat="1"/>
    <row r="157" s="29" customFormat="1"/>
    <row r="158" s="29" customFormat="1"/>
    <row r="159" s="29" customFormat="1"/>
    <row r="160" s="29" customFormat="1"/>
    <row r="161" s="29" customFormat="1"/>
    <row r="162" s="29" customFormat="1"/>
    <row r="163" s="29" customFormat="1"/>
    <row r="164" s="29" customFormat="1"/>
    <row r="165" s="29" customFormat="1"/>
    <row r="166" s="29" customFormat="1"/>
    <row r="167" s="29" customFormat="1"/>
    <row r="168" s="29" customFormat="1"/>
    <row r="169" s="29" customFormat="1"/>
    <row r="170" s="29" customFormat="1"/>
    <row r="171" s="29" customFormat="1"/>
    <row r="172" s="29" customFormat="1"/>
    <row r="173" s="29" customFormat="1"/>
    <row r="174" s="29" customFormat="1"/>
    <row r="175" s="29" customFormat="1"/>
    <row r="176" s="29" customFormat="1"/>
    <row r="177" s="29" customFormat="1"/>
    <row r="178" s="29" customFormat="1"/>
    <row r="179" s="29" customFormat="1"/>
    <row r="180" s="29" customFormat="1"/>
    <row r="181" s="29" customFormat="1"/>
    <row r="182" s="29" customFormat="1"/>
    <row r="183" s="29" customFormat="1"/>
    <row r="184" s="29" customFormat="1"/>
    <row r="185" s="29" customFormat="1"/>
    <row r="186" s="29" customFormat="1"/>
    <row r="187" s="29" customFormat="1"/>
    <row r="188" s="29" customFormat="1"/>
    <row r="189" s="29" customFormat="1"/>
    <row r="190" s="29" customFormat="1"/>
    <row r="191" s="29" customFormat="1"/>
    <row r="192" s="29" customFormat="1"/>
    <row r="193" s="29" customFormat="1"/>
    <row r="194" s="29" customFormat="1"/>
    <row r="195" s="29" customFormat="1"/>
    <row r="196" s="29" customFormat="1"/>
    <row r="197" s="29" customFormat="1"/>
    <row r="198" s="29" customFormat="1"/>
    <row r="199" s="29" customFormat="1"/>
    <row r="200" s="29" customFormat="1"/>
    <row r="201" s="29" customFormat="1"/>
    <row r="202" s="29" customFormat="1"/>
    <row r="203" s="29" customFormat="1"/>
    <row r="204" s="29" customFormat="1"/>
    <row r="205" s="29" customFormat="1"/>
    <row r="206" s="29" customFormat="1"/>
    <row r="207" s="29" customFormat="1"/>
    <row r="208" s="29" customFormat="1"/>
    <row r="209" s="29" customFormat="1"/>
    <row r="210" s="29" customFormat="1"/>
    <row r="211" s="29" customFormat="1"/>
    <row r="212" s="29" customFormat="1"/>
    <row r="213" s="29" customFormat="1"/>
    <row r="214" s="29" customFormat="1"/>
    <row r="215" s="29" customFormat="1"/>
    <row r="216" s="29" customFormat="1"/>
    <row r="217" s="29" customFormat="1"/>
    <row r="218" s="29" customFormat="1"/>
    <row r="219" s="29" customFormat="1"/>
    <row r="220" s="29" customFormat="1"/>
    <row r="221" s="29" customFormat="1"/>
    <row r="222" s="29" customFormat="1"/>
    <row r="223" s="29" customFormat="1"/>
    <row r="224" s="29" customFormat="1"/>
    <row r="225" s="29" customFormat="1"/>
    <row r="226" s="29" customFormat="1"/>
    <row r="227" s="29" customFormat="1"/>
    <row r="228" s="29" customFormat="1"/>
    <row r="229" s="29" customFormat="1"/>
    <row r="230" s="29" customFormat="1"/>
    <row r="231" s="29" customFormat="1"/>
    <row r="232" s="29" customFormat="1"/>
    <row r="233" s="29" customFormat="1"/>
    <row r="234" s="29" customFormat="1"/>
    <row r="235" s="29" customFormat="1"/>
    <row r="236" s="29" customFormat="1"/>
    <row r="237" s="29" customFormat="1"/>
    <row r="238" s="29" customFormat="1"/>
    <row r="239" s="29" customFormat="1"/>
    <row r="240" s="29" customFormat="1"/>
    <row r="241" s="29" customFormat="1"/>
    <row r="242" s="29" customFormat="1"/>
    <row r="243" s="29" customFormat="1"/>
    <row r="244" s="29" customFormat="1"/>
    <row r="245" s="29" customFormat="1"/>
    <row r="246" s="29" customFormat="1"/>
    <row r="247" s="29" customFormat="1"/>
    <row r="248" s="29" customFormat="1"/>
    <row r="249" s="29" customFormat="1"/>
    <row r="250" s="29" customFormat="1"/>
    <row r="251" s="29" customFormat="1"/>
    <row r="252" s="29" customFormat="1"/>
    <row r="253" s="29" customFormat="1"/>
    <row r="254" s="29" customFormat="1"/>
    <row r="255" s="29" customFormat="1"/>
    <row r="256" s="29" customFormat="1"/>
    <row r="257" s="29" customFormat="1"/>
    <row r="258" s="29" customFormat="1"/>
    <row r="259" s="29" customFormat="1"/>
    <row r="260" s="29" customFormat="1"/>
    <row r="261" s="29" customFormat="1"/>
    <row r="262" s="29" customFormat="1"/>
    <row r="263" s="29" customFormat="1"/>
    <row r="264" s="29" customFormat="1"/>
    <row r="265" s="29" customFormat="1"/>
    <row r="266" s="29" customFormat="1"/>
    <row r="267" s="29" customFormat="1"/>
    <row r="268" s="29" customFormat="1"/>
    <row r="269" s="29" customFormat="1"/>
    <row r="270" s="29" customFormat="1"/>
    <row r="271" s="29" customFormat="1"/>
    <row r="272" s="29" customFormat="1"/>
    <row r="273" s="29" customFormat="1"/>
    <row r="274" s="29" customFormat="1"/>
    <row r="275" s="29" customFormat="1"/>
    <row r="276" s="29" customFormat="1"/>
    <row r="277" s="29" customFormat="1"/>
    <row r="278" s="29" customFormat="1"/>
    <row r="279" s="29" customFormat="1"/>
    <row r="280" s="29" customFormat="1"/>
    <row r="281" s="29" customFormat="1"/>
    <row r="282" s="29" customFormat="1"/>
    <row r="283" s="29" customFormat="1"/>
    <row r="284" s="29" customFormat="1"/>
    <row r="285" s="29" customFormat="1"/>
    <row r="286" s="29" customFormat="1"/>
    <row r="287" s="29" customFormat="1"/>
    <row r="288" s="29" customFormat="1"/>
    <row r="289" s="29" customFormat="1"/>
    <row r="290" s="29" customFormat="1"/>
    <row r="291" s="29" customFormat="1"/>
    <row r="292" s="29" customFormat="1"/>
    <row r="293" s="29" customFormat="1"/>
    <row r="294" s="29" customFormat="1"/>
    <row r="295" s="29" customFormat="1"/>
    <row r="296" s="29" customFormat="1"/>
    <row r="297" s="29" customFormat="1"/>
    <row r="298" s="29" customFormat="1"/>
    <row r="299" s="29" customFormat="1"/>
    <row r="300" s="29" customFormat="1"/>
    <row r="301" s="29" customFormat="1"/>
    <row r="302" s="29" customFormat="1"/>
    <row r="303" s="29" customFormat="1"/>
    <row r="304" s="29" customFormat="1"/>
    <row r="305" s="29" customFormat="1"/>
    <row r="306" s="29" customFormat="1"/>
    <row r="307" s="29" customFormat="1"/>
    <row r="308" s="29" customFormat="1"/>
    <row r="309" s="29" customFormat="1"/>
    <row r="310" s="29" customFormat="1"/>
    <row r="311" s="29" customFormat="1"/>
    <row r="312" s="29" customFormat="1"/>
    <row r="313" s="29" customFormat="1"/>
    <row r="314" s="29" customFormat="1"/>
    <row r="315" s="29" customFormat="1"/>
    <row r="316" s="29" customFormat="1"/>
    <row r="317" s="29" customFormat="1"/>
    <row r="318" s="29" customFormat="1"/>
    <row r="319" s="29" customFormat="1"/>
    <row r="320" s="29" customFormat="1"/>
    <row r="321" s="29" customFormat="1"/>
    <row r="322" s="29" customFormat="1"/>
    <row r="323" s="29" customFormat="1"/>
    <row r="324" s="29" customFormat="1"/>
    <row r="325" s="29" customFormat="1"/>
    <row r="326" s="29" customFormat="1"/>
    <row r="327" s="29" customFormat="1"/>
    <row r="328" s="29" customFormat="1"/>
    <row r="329" s="29" customFormat="1"/>
    <row r="330" s="29" customFormat="1"/>
    <row r="331" s="29" customFormat="1"/>
    <row r="332" s="29" customFormat="1"/>
    <row r="333" s="29" customFormat="1"/>
    <row r="334" s="29" customFormat="1"/>
    <row r="335" s="29" customFormat="1"/>
    <row r="336" s="29" customFormat="1"/>
    <row r="337" s="29" customFormat="1"/>
    <row r="338" s="29" customFormat="1"/>
    <row r="339" s="29" customFormat="1"/>
    <row r="340" s="29" customFormat="1"/>
    <row r="341" s="29" customFormat="1"/>
    <row r="342" s="29" customFormat="1"/>
    <row r="343" s="29" customFormat="1"/>
    <row r="344" s="29" customFormat="1"/>
    <row r="345" s="29" customFormat="1"/>
    <row r="346" s="29" customFormat="1"/>
    <row r="347" s="29" customFormat="1"/>
    <row r="348" s="29" customFormat="1"/>
    <row r="349" s="29" customFormat="1"/>
    <row r="350" s="29" customFormat="1"/>
    <row r="351" s="29" customFormat="1"/>
    <row r="352" s="29" customFormat="1"/>
    <row r="353" s="29" customFormat="1"/>
    <row r="354" s="29" customFormat="1"/>
    <row r="355" s="29" customFormat="1"/>
    <row r="356" s="29" customFormat="1"/>
    <row r="357" s="29" customFormat="1"/>
    <row r="358" s="29" customFormat="1"/>
    <row r="359" s="29" customFormat="1"/>
    <row r="360" s="29" customFormat="1"/>
    <row r="361" s="29" customFormat="1"/>
    <row r="362" s="29" customFormat="1"/>
    <row r="363" s="29" customFormat="1"/>
    <row r="364" s="29" customFormat="1"/>
    <row r="365" s="29" customFormat="1"/>
    <row r="366" s="29" customFormat="1"/>
    <row r="367" s="29" customFormat="1"/>
    <row r="368" s="29" customFormat="1"/>
    <row r="369" s="29" customFormat="1"/>
    <row r="370" s="29" customFormat="1"/>
    <row r="371" s="29" customFormat="1"/>
    <row r="372" s="29" customFormat="1"/>
    <row r="373" s="29" customFormat="1"/>
    <row r="374" s="29" customFormat="1"/>
    <row r="375" s="29" customFormat="1"/>
    <row r="376" s="29" customFormat="1"/>
    <row r="377" s="29" customFormat="1"/>
    <row r="378" s="29" customFormat="1"/>
    <row r="379" s="29" customFormat="1"/>
    <row r="380" s="29" customFormat="1"/>
    <row r="381" s="29" customFormat="1"/>
    <row r="382" s="29" customFormat="1"/>
    <row r="383" s="29" customFormat="1"/>
    <row r="384" s="29" customFormat="1"/>
    <row r="385" s="29" customFormat="1"/>
    <row r="386" s="29" customFormat="1"/>
    <row r="387" s="29" customFormat="1"/>
    <row r="388" s="29" customFormat="1"/>
    <row r="389" s="29" customFormat="1"/>
    <row r="390" s="29" customFormat="1"/>
    <row r="391" s="29" customFormat="1"/>
    <row r="392" s="29" customFormat="1"/>
    <row r="393" s="29" customFormat="1"/>
    <row r="394" s="29" customFormat="1"/>
    <row r="395" s="29" customFormat="1"/>
    <row r="396" s="29" customFormat="1"/>
    <row r="397" s="29" customFormat="1"/>
    <row r="398" s="29" customFormat="1"/>
    <row r="399" s="29" customFormat="1"/>
    <row r="400" s="29" customFormat="1"/>
    <row r="401" s="29" customFormat="1"/>
    <row r="402" s="29" customFormat="1"/>
    <row r="403" s="29" customFormat="1"/>
    <row r="404" s="29" customFormat="1"/>
    <row r="405" s="29" customFormat="1"/>
    <row r="406" s="29" customFormat="1"/>
    <row r="407" s="29" customFormat="1"/>
    <row r="408" s="29" customFormat="1"/>
    <row r="409" s="29" customFormat="1"/>
    <row r="410" s="29" customFormat="1"/>
    <row r="411" s="29" customFormat="1"/>
    <row r="412" s="29" customFormat="1"/>
    <row r="413" s="29" customFormat="1"/>
    <row r="414" s="29" customFormat="1"/>
    <row r="415" s="29" customFormat="1"/>
    <row r="416" s="29" customFormat="1"/>
    <row r="417" s="29" customFormat="1"/>
    <row r="418" s="29" customFormat="1"/>
    <row r="419" s="29" customFormat="1"/>
    <row r="420" s="29" customFormat="1"/>
    <row r="421" s="29" customFormat="1"/>
    <row r="422" s="29" customFormat="1"/>
    <row r="423" s="29" customFormat="1"/>
    <row r="424" s="29" customFormat="1"/>
    <row r="425" s="29" customFormat="1"/>
    <row r="426" s="29" customFormat="1"/>
    <row r="427" s="29" customFormat="1"/>
    <row r="428" s="29" customFormat="1"/>
    <row r="429" s="29" customFormat="1"/>
    <row r="430" s="29" customFormat="1"/>
    <row r="431" s="29" customFormat="1"/>
    <row r="432" s="29" customFormat="1"/>
    <row r="433" s="29" customFormat="1"/>
    <row r="434" s="29" customFormat="1"/>
    <row r="435" s="29" customFormat="1"/>
    <row r="436" s="29" customFormat="1"/>
    <row r="437" s="29" customFormat="1"/>
    <row r="438" s="29" customFormat="1"/>
    <row r="439" s="29" customFormat="1"/>
    <row r="440" s="29" customFormat="1"/>
    <row r="441" s="29" customFormat="1"/>
    <row r="442" s="29" customFormat="1"/>
    <row r="443" s="29" customFormat="1"/>
    <row r="444" s="29" customFormat="1"/>
    <row r="445" s="29" customFormat="1"/>
    <row r="446" s="29" customFormat="1"/>
    <row r="447" s="29" customFormat="1"/>
    <row r="448" s="29" customFormat="1"/>
    <row r="449" s="29" customFormat="1"/>
    <row r="450" s="29" customFormat="1"/>
    <row r="451" s="29" customFormat="1"/>
    <row r="452" s="29" customFormat="1"/>
    <row r="453" s="29" customFormat="1"/>
    <row r="454" s="29" customFormat="1"/>
    <row r="455" s="29" customFormat="1"/>
    <row r="456" s="29" customFormat="1"/>
    <row r="457" s="29" customFormat="1"/>
    <row r="458" s="29" customFormat="1"/>
    <row r="459" s="29" customFormat="1"/>
    <row r="460" s="29" customFormat="1"/>
    <row r="461" s="29" customFormat="1"/>
    <row r="462" s="29" customFormat="1"/>
    <row r="463" s="29" customFormat="1"/>
    <row r="464" s="29" customFormat="1"/>
    <row r="465" s="29" customFormat="1"/>
    <row r="466" s="29" customFormat="1"/>
    <row r="467" s="29" customFormat="1"/>
    <row r="468" s="29" customFormat="1"/>
    <row r="469" s="29" customFormat="1"/>
    <row r="470" s="29" customFormat="1"/>
    <row r="471" s="29" customFormat="1"/>
    <row r="472" s="29" customFormat="1"/>
    <row r="473" s="29" customFormat="1"/>
    <row r="474" s="29" customFormat="1"/>
    <row r="475" s="29" customFormat="1"/>
    <row r="476" s="29" customFormat="1"/>
    <row r="477" s="29" customFormat="1"/>
    <row r="478" s="29" customFormat="1"/>
    <row r="479" s="29" customFormat="1"/>
    <row r="480" s="29" customFormat="1"/>
    <row r="481" s="29" customFormat="1"/>
    <row r="482" s="29" customFormat="1"/>
    <row r="483" s="29" customFormat="1"/>
    <row r="484" s="29" customFormat="1"/>
    <row r="485" s="29" customFormat="1"/>
    <row r="486" s="29" customFormat="1"/>
    <row r="487" s="29" customFormat="1"/>
    <row r="488" s="29" customFormat="1"/>
    <row r="489" s="29" customFormat="1"/>
    <row r="490" s="29" customFormat="1"/>
    <row r="491" s="29" customFormat="1"/>
    <row r="492" s="29" customFormat="1"/>
    <row r="493" s="29" customFormat="1"/>
    <row r="494" s="29" customFormat="1"/>
    <row r="495" s="29" customFormat="1"/>
    <row r="496" s="29" customFormat="1"/>
    <row r="497" s="29" customFormat="1"/>
    <row r="498" s="29" customFormat="1"/>
    <row r="499" s="29" customFormat="1"/>
    <row r="500" s="29" customFormat="1"/>
    <row r="501" s="29" customFormat="1"/>
    <row r="502" s="29" customFormat="1"/>
    <row r="503" s="29" customFormat="1"/>
    <row r="504" s="29" customFormat="1"/>
    <row r="505" s="29" customFormat="1"/>
    <row r="506" s="29" customFormat="1"/>
    <row r="507" s="29" customFormat="1"/>
    <row r="508" s="29" customFormat="1"/>
    <row r="509" s="29" customFormat="1"/>
    <row r="510" s="29" customFormat="1"/>
    <row r="511" s="29" customFormat="1"/>
    <row r="512" s="29" customFormat="1"/>
    <row r="513" s="29" customFormat="1"/>
    <row r="514" s="29" customFormat="1"/>
    <row r="515" s="29" customFormat="1"/>
    <row r="516" s="29" customFormat="1"/>
    <row r="517" s="29" customFormat="1"/>
    <row r="518" s="29" customFormat="1"/>
    <row r="519" s="29" customFormat="1"/>
    <row r="520" s="29" customFormat="1"/>
    <row r="521" s="29" customFormat="1"/>
    <row r="522" s="29" customFormat="1"/>
    <row r="523" s="29" customFormat="1"/>
    <row r="524" s="29" customFormat="1"/>
    <row r="525" s="29" customFormat="1"/>
    <row r="526" s="29" customFormat="1"/>
    <row r="527" s="29" customFormat="1"/>
    <row r="528" s="29" customFormat="1"/>
    <row r="529" s="29" customFormat="1"/>
    <row r="530" s="29" customFormat="1"/>
    <row r="531" s="29" customFormat="1"/>
    <row r="532" s="29" customFormat="1"/>
    <row r="533" s="29" customFormat="1"/>
    <row r="534" s="29" customFormat="1"/>
    <row r="535" s="29" customFormat="1"/>
    <row r="536" s="29" customFormat="1"/>
    <row r="537" s="29" customFormat="1"/>
    <row r="538" s="29" customFormat="1"/>
    <row r="539" s="29" customFormat="1"/>
    <row r="540" s="29" customFormat="1"/>
    <row r="541" s="29" customFormat="1"/>
    <row r="542" s="29" customFormat="1"/>
    <row r="543" s="29" customFormat="1"/>
    <row r="544" s="29" customFormat="1"/>
    <row r="545" s="29" customFormat="1"/>
    <row r="546" s="29" customFormat="1"/>
    <row r="547" s="29" customFormat="1"/>
    <row r="548" s="29" customFormat="1"/>
    <row r="549" s="29" customFormat="1"/>
    <row r="550" s="29" customFormat="1"/>
    <row r="551" s="29" customFormat="1"/>
    <row r="552" s="29" customFormat="1"/>
    <row r="553" s="29" customFormat="1"/>
    <row r="554" s="29" customFormat="1"/>
    <row r="555" s="29" customFormat="1"/>
    <row r="556" s="29" customFormat="1"/>
    <row r="557" s="29" customFormat="1"/>
    <row r="558" s="29" customFormat="1"/>
    <row r="559" s="29" customFormat="1"/>
    <row r="560" s="29" customFormat="1"/>
    <row r="561" s="29" customFormat="1"/>
    <row r="562" s="29" customFormat="1"/>
    <row r="563" s="29" customFormat="1"/>
    <row r="564" s="29" customFormat="1"/>
    <row r="565" s="29" customFormat="1"/>
    <row r="566" s="29" customFormat="1"/>
    <row r="567" s="29" customFormat="1"/>
    <row r="568" s="29" customFormat="1"/>
    <row r="569" s="29" customFormat="1"/>
    <row r="570" s="29" customFormat="1"/>
    <row r="571" s="29" customFormat="1"/>
    <row r="572" s="29" customFormat="1"/>
    <row r="573" s="29" customFormat="1"/>
    <row r="574" s="29" customFormat="1"/>
    <row r="575" s="29" customFormat="1"/>
    <row r="576" s="29" customFormat="1"/>
    <row r="577" s="29" customFormat="1"/>
    <row r="578" s="29" customFormat="1"/>
    <row r="579" s="29" customFormat="1"/>
    <row r="580" s="29" customFormat="1"/>
    <row r="581" s="29" customFormat="1"/>
    <row r="582" s="29" customFormat="1"/>
    <row r="583" s="29" customFormat="1"/>
    <row r="584" s="29" customFormat="1"/>
    <row r="585" s="29" customFormat="1"/>
    <row r="586" s="29" customFormat="1"/>
    <row r="587" s="29" customFormat="1"/>
    <row r="588" s="29" customFormat="1"/>
    <row r="589" s="29" customFormat="1"/>
    <row r="590" s="29" customFormat="1"/>
    <row r="591" s="29" customFormat="1"/>
    <row r="592" s="29" customFormat="1"/>
    <row r="593" s="29" customFormat="1"/>
    <row r="594" s="29" customFormat="1"/>
    <row r="595" s="29" customFormat="1"/>
    <row r="596" s="29" customFormat="1"/>
    <row r="597" s="29" customFormat="1"/>
    <row r="598" s="29" customFormat="1"/>
    <row r="599" s="29" customFormat="1"/>
    <row r="600" s="29" customFormat="1"/>
    <row r="601" s="29" customFormat="1"/>
    <row r="602" s="29" customFormat="1"/>
    <row r="603" s="29" customFormat="1"/>
    <row r="604" s="29" customFormat="1"/>
    <row r="605" s="29" customFormat="1"/>
    <row r="606" s="29" customFormat="1"/>
    <row r="607" s="29" customFormat="1"/>
    <row r="608" s="29" customFormat="1"/>
    <row r="609" s="29" customFormat="1"/>
    <row r="610" s="29" customFormat="1"/>
    <row r="611" s="29" customFormat="1"/>
    <row r="612" s="29" customFormat="1"/>
    <row r="613" s="29" customFormat="1"/>
    <row r="614" s="29" customFormat="1"/>
    <row r="615" s="29" customFormat="1"/>
    <row r="616" s="29" customFormat="1"/>
    <row r="617" s="29" customFormat="1"/>
    <row r="618" s="29" customFormat="1"/>
    <row r="619" s="29" customFormat="1"/>
    <row r="620" s="29" customFormat="1"/>
    <row r="621" s="29" customFormat="1"/>
    <row r="622" s="29" customFormat="1"/>
    <row r="623" s="29" customFormat="1"/>
    <row r="624" s="29" customFormat="1"/>
    <row r="625" s="29" customFormat="1"/>
    <row r="626" s="29" customFormat="1"/>
    <row r="627" s="29" customFormat="1"/>
    <row r="628" s="29" customFormat="1"/>
    <row r="629" s="29" customFormat="1"/>
    <row r="630" s="29" customFormat="1"/>
    <row r="631" s="29" customFormat="1"/>
    <row r="632" s="29" customFormat="1"/>
    <row r="633" s="29" customFormat="1"/>
    <row r="634" s="29" customFormat="1"/>
    <row r="635" s="29" customFormat="1"/>
    <row r="636" s="29" customFormat="1"/>
    <row r="637" s="29" customFormat="1"/>
    <row r="638" s="29" customFormat="1"/>
    <row r="639" s="29" customFormat="1"/>
    <row r="640" s="29" customFormat="1"/>
    <row r="641" s="29" customFormat="1"/>
    <row r="642" s="29" customFormat="1"/>
    <row r="643" s="29" customFormat="1"/>
    <row r="644" s="29" customFormat="1"/>
    <row r="645" s="29" customFormat="1"/>
    <row r="646" s="29" customFormat="1"/>
    <row r="647" s="29" customFormat="1"/>
    <row r="648" s="29" customFormat="1"/>
    <row r="649" s="29" customFormat="1"/>
    <row r="650" s="29" customFormat="1"/>
    <row r="651" s="29" customFormat="1"/>
    <row r="652" s="29" customFormat="1"/>
    <row r="653" s="29" customFormat="1"/>
    <row r="654" s="29" customFormat="1"/>
    <row r="655" s="29" customFormat="1"/>
    <row r="656" s="29" customFormat="1"/>
    <row r="657" s="29" customFormat="1"/>
    <row r="658" s="29" customFormat="1"/>
    <row r="659" s="29" customFormat="1"/>
    <row r="660" s="29" customFormat="1"/>
    <row r="661" s="29" customFormat="1"/>
    <row r="662" s="29" customFormat="1"/>
    <row r="663" s="29" customFormat="1"/>
    <row r="664" s="29" customFormat="1"/>
    <row r="665" s="29" customFormat="1"/>
    <row r="666" s="29" customFormat="1"/>
    <row r="667" s="29" customFormat="1"/>
    <row r="668" s="29" customFormat="1"/>
    <row r="669" s="29" customFormat="1"/>
    <row r="670" s="29" customFormat="1"/>
    <row r="671" s="29" customFormat="1"/>
    <row r="672" s="29" customFormat="1"/>
    <row r="673" s="29" customFormat="1"/>
    <row r="674" s="29" customFormat="1"/>
    <row r="675" s="29" customFormat="1"/>
    <row r="676" s="29" customFormat="1"/>
    <row r="677" s="29" customFormat="1"/>
    <row r="678" s="29" customFormat="1"/>
    <row r="679" s="29" customFormat="1"/>
    <row r="680" s="29" customFormat="1"/>
    <row r="681" s="29" customFormat="1"/>
    <row r="682" s="29" customFormat="1"/>
    <row r="683" s="29" customFormat="1"/>
    <row r="684" s="29" customFormat="1"/>
    <row r="685" s="29" customFormat="1"/>
    <row r="686" s="29" customFormat="1"/>
    <row r="687" s="29" customFormat="1"/>
    <row r="688" s="29" customFormat="1"/>
    <row r="689" s="29" customFormat="1"/>
    <row r="690" s="29" customFormat="1"/>
    <row r="691" s="29" customFormat="1"/>
    <row r="692" s="29" customFormat="1"/>
    <row r="693" s="29" customFormat="1"/>
    <row r="694" s="29" customFormat="1"/>
    <row r="695" s="29" customFormat="1"/>
    <row r="696" s="29" customFormat="1"/>
    <row r="697" s="29" customFormat="1"/>
    <row r="698" s="29" customFormat="1"/>
    <row r="699" s="29" customFormat="1"/>
    <row r="700" s="29" customFormat="1"/>
    <row r="701" s="29" customFormat="1"/>
    <row r="702" s="29" customFormat="1"/>
    <row r="703" s="29" customFormat="1"/>
    <row r="704" s="29" customFormat="1"/>
    <row r="705" s="29" customFormat="1"/>
    <row r="706" s="29" customFormat="1"/>
    <row r="707" s="29" customFormat="1"/>
    <row r="708" s="29" customFormat="1"/>
    <row r="709" s="29" customFormat="1"/>
    <row r="710" s="29" customFormat="1"/>
    <row r="711" s="29" customFormat="1"/>
    <row r="712" s="29" customFormat="1"/>
    <row r="713" s="29" customFormat="1"/>
    <row r="714" s="29" customFormat="1"/>
    <row r="715" s="29" customFormat="1"/>
    <row r="716" s="29" customFormat="1"/>
    <row r="717" s="29" customFormat="1"/>
    <row r="718" s="29" customFormat="1"/>
    <row r="719" s="29" customFormat="1"/>
    <row r="720" s="29" customFormat="1"/>
    <row r="721" s="29" customFormat="1"/>
    <row r="722" s="29" customFormat="1"/>
    <row r="723" s="29" customFormat="1"/>
    <row r="724" s="29" customFormat="1"/>
    <row r="725" s="29" customFormat="1"/>
    <row r="726" s="29" customFormat="1"/>
    <row r="727" s="29" customFormat="1"/>
    <row r="728" s="29" customFormat="1"/>
    <row r="729" s="29" customFormat="1"/>
    <row r="730" s="29" customFormat="1"/>
    <row r="731" s="29" customFormat="1"/>
    <row r="732" s="29" customFormat="1"/>
    <row r="733" s="29" customFormat="1"/>
    <row r="734" s="29" customFormat="1"/>
    <row r="735" s="29" customFormat="1"/>
    <row r="736" s="29" customFormat="1"/>
    <row r="737" s="29" customFormat="1"/>
    <row r="738" s="29" customFormat="1"/>
    <row r="739" s="29" customFormat="1"/>
    <row r="740" s="29" customFormat="1"/>
    <row r="741" s="29" customFormat="1"/>
    <row r="742" s="29" customFormat="1"/>
    <row r="743" s="29" customFormat="1"/>
    <row r="744" s="29" customFormat="1"/>
    <row r="745" s="29" customFormat="1"/>
    <row r="746" s="29" customFormat="1"/>
    <row r="747" s="29" customFormat="1"/>
    <row r="748" s="29" customFormat="1"/>
    <row r="749" s="29" customFormat="1"/>
    <row r="750" s="29" customFormat="1"/>
    <row r="751" s="29" customFormat="1"/>
    <row r="752" s="29" customFormat="1"/>
    <row r="753" s="29" customFormat="1"/>
    <row r="754" s="29" customFormat="1"/>
    <row r="755" s="29" customFormat="1"/>
    <row r="756" s="29" customFormat="1"/>
    <row r="757" s="29" customFormat="1"/>
    <row r="758" s="29" customFormat="1"/>
    <row r="759" s="29" customFormat="1"/>
    <row r="760" s="29" customFormat="1"/>
    <row r="761" s="29" customFormat="1"/>
    <row r="762" s="29" customFormat="1"/>
    <row r="763" s="29" customFormat="1"/>
    <row r="764" s="29" customFormat="1"/>
    <row r="765" s="29" customFormat="1"/>
    <row r="766" s="29" customFormat="1"/>
    <row r="767" s="29" customFormat="1"/>
    <row r="768" s="29" customFormat="1"/>
    <row r="769" s="29" customFormat="1"/>
    <row r="770" s="29" customFormat="1"/>
    <row r="771" s="29" customFormat="1"/>
    <row r="772" s="29" customFormat="1"/>
    <row r="773" s="29" customFormat="1"/>
    <row r="774" s="29" customFormat="1"/>
    <row r="775" s="29" customFormat="1"/>
    <row r="776" s="29" customFormat="1"/>
    <row r="777" s="29" customFormat="1"/>
    <row r="778" s="29" customFormat="1"/>
    <row r="779" s="29" customFormat="1"/>
    <row r="780" s="29" customFormat="1"/>
    <row r="781" s="29" customFormat="1"/>
    <row r="782" s="29" customFormat="1"/>
    <row r="783" s="29" customFormat="1"/>
    <row r="784" s="29" customFormat="1"/>
    <row r="785" s="29" customFormat="1"/>
    <row r="786" s="29" customFormat="1"/>
    <row r="787" s="29" customFormat="1"/>
    <row r="788" s="29" customFormat="1"/>
    <row r="789" s="29" customFormat="1"/>
    <row r="790" s="29" customFormat="1"/>
    <row r="791" s="29" customFormat="1"/>
    <row r="792" s="29" customFormat="1"/>
    <row r="793" s="29" customFormat="1"/>
    <row r="794" s="29" customFormat="1"/>
    <row r="795" s="29" customFormat="1"/>
    <row r="796" s="29" customFormat="1"/>
    <row r="797" s="29" customFormat="1"/>
    <row r="798" s="29" customFormat="1"/>
    <row r="799" s="29" customFormat="1"/>
    <row r="800" s="29" customFormat="1"/>
    <row r="801" s="29" customFormat="1"/>
    <row r="802" s="29" customFormat="1"/>
    <row r="803" s="29" customFormat="1"/>
    <row r="804" s="29" customFormat="1"/>
    <row r="805" s="29" customFormat="1"/>
    <row r="806" s="29" customFormat="1"/>
    <row r="807" s="29" customFormat="1"/>
    <row r="808" s="29" customFormat="1"/>
    <row r="809" s="29" customFormat="1"/>
    <row r="810" s="29" customFormat="1"/>
    <row r="811" s="29" customFormat="1"/>
    <row r="812" s="29" customFormat="1"/>
    <row r="813" s="29" customFormat="1"/>
    <row r="814" s="29" customFormat="1"/>
    <row r="815" s="29" customFormat="1"/>
    <row r="816" s="29" customFormat="1"/>
    <row r="817" s="29" customFormat="1"/>
    <row r="818" s="29" customFormat="1"/>
    <row r="819" s="29" customFormat="1"/>
    <row r="820" s="29" customFormat="1"/>
    <row r="821" s="29" customFormat="1"/>
    <row r="822" s="29" customFormat="1"/>
    <row r="823" s="29" customFormat="1"/>
    <row r="824" s="29" customFormat="1"/>
    <row r="825" s="29" customFormat="1"/>
    <row r="826" s="29" customFormat="1"/>
    <row r="827" s="29" customFormat="1"/>
    <row r="828" s="29" customFormat="1"/>
    <row r="829" s="29" customFormat="1"/>
    <row r="830" s="29" customFormat="1"/>
    <row r="831" s="29" customFormat="1"/>
    <row r="832" s="29" customFormat="1"/>
    <row r="833" s="29" customFormat="1"/>
    <row r="834" s="29" customFormat="1"/>
    <row r="835" s="29" customFormat="1"/>
    <row r="836" s="29" customFormat="1"/>
    <row r="837" s="29" customFormat="1"/>
    <row r="838" s="29" customFormat="1"/>
    <row r="839" s="29" customFormat="1"/>
    <row r="840" s="29" customFormat="1"/>
    <row r="841" s="29" customFormat="1"/>
    <row r="842" s="29" customFormat="1"/>
    <row r="843" s="29" customFormat="1"/>
    <row r="844" s="29" customFormat="1"/>
    <row r="845" s="29" customFormat="1"/>
    <row r="846" s="29" customFormat="1"/>
    <row r="847" s="29" customFormat="1"/>
    <row r="848" s="29" customFormat="1"/>
    <row r="849" s="29" customFormat="1"/>
    <row r="850" s="29" customFormat="1"/>
    <row r="851" s="29" customFormat="1"/>
    <row r="852" s="29" customFormat="1"/>
    <row r="853" s="29" customFormat="1"/>
    <row r="854" s="29" customFormat="1"/>
    <row r="855" s="29" customFormat="1"/>
    <row r="856" s="29" customFormat="1"/>
    <row r="857" s="29" customFormat="1"/>
    <row r="858" s="29" customFormat="1"/>
    <row r="859" s="29" customFormat="1"/>
    <row r="860" s="29" customFormat="1"/>
    <row r="861" s="29" customFormat="1"/>
    <row r="862" s="29" customFormat="1"/>
    <row r="863" s="29" customFormat="1"/>
    <row r="864" s="29" customFormat="1"/>
    <row r="865" s="29" customFormat="1"/>
    <row r="866" s="29" customFormat="1"/>
    <row r="867" s="29" customFormat="1"/>
    <row r="868" s="29" customFormat="1"/>
    <row r="869" s="29" customFormat="1"/>
    <row r="870" s="29" customFormat="1"/>
    <row r="871" s="29" customFormat="1"/>
    <row r="872" s="29" customFormat="1"/>
    <row r="873" s="29" customFormat="1"/>
    <row r="874" s="29" customFormat="1"/>
    <row r="875" s="29" customFormat="1"/>
    <row r="876" s="29" customFormat="1"/>
    <row r="877" s="29" customFormat="1"/>
    <row r="878" s="29" customFormat="1"/>
    <row r="879" s="29" customFormat="1"/>
    <row r="880" s="29" customFormat="1"/>
    <row r="881" s="29" customFormat="1"/>
    <row r="882" s="29" customFormat="1"/>
    <row r="883" s="29" customFormat="1"/>
    <row r="884" s="29" customFormat="1"/>
    <row r="885" s="29" customFormat="1"/>
    <row r="886" s="29" customFormat="1"/>
    <row r="887" s="29" customFormat="1"/>
    <row r="888" s="29" customFormat="1"/>
    <row r="889" s="29" customFormat="1"/>
    <row r="890" s="29" customFormat="1"/>
  </sheetData>
  <mergeCells count="3">
    <mergeCell ref="D7:S29"/>
    <mergeCell ref="D34:S34"/>
    <mergeCell ref="D33:S3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0D8B-8B55-4858-B228-2775FFC46E2B}">
  <sheetPr codeName="Sheet18"/>
  <dimension ref="A2:CJ252"/>
  <sheetViews>
    <sheetView topLeftCell="A177" zoomScale="60" zoomScaleNormal="60" workbookViewId="0">
      <selection activeCell="G200" sqref="G200"/>
    </sheetView>
  </sheetViews>
  <sheetFormatPr defaultColWidth="8.54296875" defaultRowHeight="14.5"/>
  <cols>
    <col min="2" max="2" width="49.453125" customWidth="1"/>
    <col min="3" max="3" width="55.453125" customWidth="1"/>
    <col min="4" max="4" width="17.54296875" customWidth="1"/>
    <col min="5" max="5" width="23.54296875" customWidth="1"/>
    <col min="6" max="6" width="22.453125" customWidth="1"/>
    <col min="7" max="7" width="23.453125" customWidth="1"/>
    <col min="8" max="8" width="50.54296875" customWidth="1"/>
    <col min="9" max="9" width="24.453125" customWidth="1"/>
    <col min="10" max="11" width="19.453125" customWidth="1"/>
    <col min="12" max="12" width="28.453125" customWidth="1"/>
    <col min="13" max="13" width="17.54296875" customWidth="1"/>
    <col min="14" max="17" width="24.453125" customWidth="1"/>
    <col min="18" max="18" width="30.54296875" customWidth="1"/>
    <col min="19" max="19" width="25.453125" customWidth="1"/>
    <col min="20" max="20" width="39.54296875" customWidth="1"/>
    <col min="21" max="22" width="25.453125" customWidth="1"/>
    <col min="23" max="23" width="20.453125" customWidth="1"/>
    <col min="24" max="27" width="28.54296875" customWidth="1"/>
    <col min="28" max="28" width="39.453125" customWidth="1"/>
    <col min="29" max="29" width="33.453125" customWidth="1"/>
    <col min="30" max="30" width="53.453125" customWidth="1"/>
    <col min="31" max="37" width="11.453125" customWidth="1"/>
    <col min="38" max="38" width="9.54296875" bestFit="1" customWidth="1"/>
    <col min="39" max="41" width="10.453125" customWidth="1"/>
    <col min="42" max="54" width="12.453125" customWidth="1"/>
    <col min="56" max="58" width="11.453125" customWidth="1"/>
    <col min="59" max="60" width="10.453125" customWidth="1"/>
    <col min="61" max="71" width="11.54296875" customWidth="1"/>
    <col min="72" max="72" width="15.453125" customWidth="1"/>
    <col min="73" max="73" width="12.453125" customWidth="1"/>
    <col min="74" max="75" width="10.54296875" customWidth="1"/>
    <col min="76" max="88" width="11.453125" customWidth="1"/>
  </cols>
  <sheetData>
    <row r="2" spans="1:18" ht="36">
      <c r="A2" t="s">
        <v>1101</v>
      </c>
      <c r="B2" s="222" t="s">
        <v>132</v>
      </c>
      <c r="C2" s="222" t="s">
        <v>1102</v>
      </c>
      <c r="D2" s="222" t="s">
        <v>1103</v>
      </c>
      <c r="E2" s="222" t="s">
        <v>1104</v>
      </c>
      <c r="F2" s="247" t="s">
        <v>1105</v>
      </c>
      <c r="I2" t="s">
        <v>1106</v>
      </c>
      <c r="J2" t="s">
        <v>1107</v>
      </c>
      <c r="K2" t="s">
        <v>1108</v>
      </c>
      <c r="L2" t="s">
        <v>1109</v>
      </c>
      <c r="M2" t="s">
        <v>1110</v>
      </c>
      <c r="N2" t="s">
        <v>1111</v>
      </c>
      <c r="O2" s="266" t="s">
        <v>1112</v>
      </c>
    </row>
    <row r="3" spans="1:18" ht="18">
      <c r="B3" s="248" t="s">
        <v>1113</v>
      </c>
      <c r="C3" s="222"/>
      <c r="D3" s="222"/>
      <c r="E3" s="222"/>
      <c r="F3" s="247"/>
      <c r="H3" s="1" t="s">
        <v>8</v>
      </c>
      <c r="I3">
        <f>Taimekasvatus!G5</f>
        <v>2</v>
      </c>
      <c r="J3">
        <f>Taimekasvatus!H5</f>
        <v>0.25</v>
      </c>
      <c r="K3" t="str">
        <f>Taimekasvatus!I5</f>
        <v>r1</v>
      </c>
      <c r="L3">
        <f>VLOOKUP(K3,$H$12:$I$17,2)</f>
        <v>0.94</v>
      </c>
      <c r="M3">
        <f t="shared" ref="M3:M8" si="0">I3*1.7</f>
        <v>3.4</v>
      </c>
      <c r="N3">
        <f>1.63-0.068*M3</f>
        <v>1.3987999999999998</v>
      </c>
      <c r="O3" s="266">
        <f>I3*J3*L3*N3*100</f>
        <v>65.743599999999986</v>
      </c>
    </row>
    <row r="4" spans="1:18" ht="17.5">
      <c r="B4" s="265" t="s">
        <v>627</v>
      </c>
      <c r="C4">
        <v>0.875</v>
      </c>
      <c r="D4" s="249">
        <v>0.23</v>
      </c>
      <c r="E4">
        <v>0.86</v>
      </c>
      <c r="F4" s="250"/>
      <c r="H4" s="1" t="s">
        <v>10</v>
      </c>
      <c r="I4">
        <f>Taimekasvatus!G6</f>
        <v>2</v>
      </c>
      <c r="J4">
        <f>Taimekasvatus!H6</f>
        <v>0.25</v>
      </c>
      <c r="K4" t="str">
        <f>Taimekasvatus!I6</f>
        <v>r1</v>
      </c>
      <c r="L4">
        <f t="shared" ref="L4:L6" si="1">VLOOKUP(K4,$H$12:$I$17,2)</f>
        <v>0.94</v>
      </c>
      <c r="M4">
        <f t="shared" si="0"/>
        <v>3.4</v>
      </c>
      <c r="N4">
        <f>1.63-0.068*M4</f>
        <v>1.3987999999999998</v>
      </c>
      <c r="O4" s="266">
        <f>I4*J4*L4*N4*100</f>
        <v>65.743599999999986</v>
      </c>
    </row>
    <row r="5" spans="1:18" ht="17.5">
      <c r="B5" s="265" t="s">
        <v>975</v>
      </c>
      <c r="C5">
        <v>0.875</v>
      </c>
      <c r="D5" s="249">
        <v>0.23</v>
      </c>
      <c r="E5">
        <v>0.86</v>
      </c>
      <c r="F5" s="250"/>
      <c r="H5" s="1" t="s">
        <v>11</v>
      </c>
      <c r="I5">
        <f>Taimekasvatus!G7</f>
        <v>2</v>
      </c>
      <c r="J5">
        <f>Taimekasvatus!H7</f>
        <v>0.25</v>
      </c>
      <c r="K5" t="str">
        <f>Taimekasvatus!I7</f>
        <v>r1</v>
      </c>
      <c r="L5">
        <f t="shared" si="1"/>
        <v>0.94</v>
      </c>
      <c r="M5">
        <f t="shared" si="0"/>
        <v>3.4</v>
      </c>
      <c r="N5">
        <f>1.63-0.068*M5</f>
        <v>1.3987999999999998</v>
      </c>
      <c r="O5" s="266">
        <f>I5*J5*L5*N5*100</f>
        <v>65.743599999999986</v>
      </c>
    </row>
    <row r="6" spans="1:18" ht="17.5">
      <c r="B6" s="265" t="s">
        <v>159</v>
      </c>
      <c r="C6">
        <v>0.96250000000000002</v>
      </c>
      <c r="D6" s="249">
        <v>0.28000000000000003</v>
      </c>
      <c r="E6">
        <v>0.86</v>
      </c>
      <c r="F6" s="251"/>
      <c r="H6" s="1" t="s">
        <v>12</v>
      </c>
      <c r="I6">
        <f>Taimekasvatus!G8</f>
        <v>2</v>
      </c>
      <c r="J6">
        <f>Taimekasvatus!H8</f>
        <v>0.25</v>
      </c>
      <c r="K6" t="str">
        <f>Taimekasvatus!I8</f>
        <v>r1</v>
      </c>
      <c r="L6">
        <f t="shared" si="1"/>
        <v>0.94</v>
      </c>
      <c r="M6">
        <f t="shared" si="0"/>
        <v>3.4</v>
      </c>
      <c r="N6">
        <f>1.601-0.066*M6</f>
        <v>1.3766</v>
      </c>
      <c r="O6" s="266">
        <f t="shared" ref="O6:O8" si="2">I6*J6*L6*N6*100</f>
        <v>64.700199999999995</v>
      </c>
    </row>
    <row r="7" spans="1:18" ht="17.5">
      <c r="B7" s="265" t="s">
        <v>976</v>
      </c>
      <c r="C7">
        <v>0.96250000000000002</v>
      </c>
      <c r="D7" s="249">
        <v>0.28000000000000003</v>
      </c>
      <c r="E7">
        <v>0.86</v>
      </c>
      <c r="F7" s="251"/>
      <c r="H7" s="1" t="s">
        <v>13</v>
      </c>
      <c r="I7">
        <f>Taimekasvatus!G9</f>
        <v>2</v>
      </c>
      <c r="J7">
        <f>Taimekasvatus!H9</f>
        <v>0.25</v>
      </c>
      <c r="K7" t="str">
        <f>Taimekasvatus!I9</f>
        <v>r1</v>
      </c>
      <c r="L7">
        <f>VLOOKUP(K7,$H$12:$I$17,2)</f>
        <v>0.94</v>
      </c>
      <c r="M7">
        <f t="shared" si="0"/>
        <v>3.4</v>
      </c>
      <c r="N7">
        <f>1.549-0.062*M7</f>
        <v>1.3382000000000001</v>
      </c>
      <c r="O7" s="266">
        <f t="shared" si="2"/>
        <v>62.895400000000002</v>
      </c>
    </row>
    <row r="8" spans="1:18" ht="17.5">
      <c r="B8" s="265" t="s">
        <v>980</v>
      </c>
      <c r="C8">
        <v>1.075</v>
      </c>
      <c r="D8" s="249">
        <v>0.22</v>
      </c>
      <c r="E8">
        <v>0.86</v>
      </c>
      <c r="F8" s="252"/>
      <c r="H8" s="1" t="s">
        <v>14</v>
      </c>
      <c r="I8">
        <f>Taimekasvatus!G10</f>
        <v>2</v>
      </c>
      <c r="J8">
        <f>Taimekasvatus!H10</f>
        <v>0.25</v>
      </c>
      <c r="K8" t="str">
        <f>Taimekasvatus!I10</f>
        <v>r1</v>
      </c>
      <c r="L8">
        <f>VLOOKUP(K8,$H$12:$I$17,2)</f>
        <v>0.94</v>
      </c>
      <c r="M8">
        <f t="shared" si="0"/>
        <v>3.4</v>
      </c>
      <c r="N8">
        <f>1.41-0.06*M8</f>
        <v>1.206</v>
      </c>
      <c r="O8" s="266">
        <f t="shared" si="2"/>
        <v>56.682000000000002</v>
      </c>
    </row>
    <row r="9" spans="1:18" ht="17.5">
      <c r="B9" s="265" t="s">
        <v>981</v>
      </c>
      <c r="C9">
        <v>1.075</v>
      </c>
      <c r="D9" s="249">
        <v>0.22</v>
      </c>
      <c r="E9">
        <v>0.86</v>
      </c>
      <c r="F9" s="252"/>
    </row>
    <row r="10" spans="1:18" ht="17.5">
      <c r="B10" s="265" t="s">
        <v>634</v>
      </c>
      <c r="C10">
        <v>0.875</v>
      </c>
      <c r="D10" s="249">
        <v>0.22</v>
      </c>
      <c r="E10">
        <v>0.86</v>
      </c>
      <c r="F10" s="253"/>
    </row>
    <row r="11" spans="1:18" ht="17.5">
      <c r="B11" s="265" t="s">
        <v>977</v>
      </c>
      <c r="C11">
        <v>0.875</v>
      </c>
      <c r="D11" s="249">
        <v>0.22</v>
      </c>
      <c r="E11">
        <v>0.86</v>
      </c>
      <c r="F11" s="253"/>
    </row>
    <row r="12" spans="1:18" ht="17.5">
      <c r="B12" s="265" t="s">
        <v>638</v>
      </c>
      <c r="C12">
        <v>0.82499999999999996</v>
      </c>
      <c r="D12" s="249">
        <v>0.22</v>
      </c>
      <c r="E12">
        <v>0.86</v>
      </c>
      <c r="F12" s="253"/>
      <c r="H12" t="s">
        <v>9</v>
      </c>
      <c r="I12">
        <v>0.94</v>
      </c>
    </row>
    <row r="13" spans="1:18" ht="17.5">
      <c r="B13" s="265" t="s">
        <v>978</v>
      </c>
      <c r="C13">
        <v>0.82499999999999996</v>
      </c>
      <c r="D13" s="249">
        <v>0.22</v>
      </c>
      <c r="E13">
        <v>0.86</v>
      </c>
      <c r="F13" s="253"/>
      <c r="H13" t="s">
        <v>1114</v>
      </c>
      <c r="I13">
        <v>0.85</v>
      </c>
    </row>
    <row r="14" spans="1:18" ht="17.5">
      <c r="B14" s="265" t="s">
        <v>253</v>
      </c>
      <c r="C14">
        <v>0.88749999999999996</v>
      </c>
      <c r="D14" s="249">
        <v>0.25</v>
      </c>
      <c r="E14">
        <v>0.86</v>
      </c>
      <c r="F14" s="254"/>
      <c r="H14" t="s">
        <v>1115</v>
      </c>
      <c r="I14">
        <v>0.75</v>
      </c>
    </row>
    <row r="15" spans="1:18" ht="17.5">
      <c r="B15" s="265" t="s">
        <v>979</v>
      </c>
      <c r="C15">
        <v>0.88749999999999996</v>
      </c>
      <c r="D15" s="249">
        <v>0.25</v>
      </c>
      <c r="E15">
        <v>0.86</v>
      </c>
      <c r="F15" s="254"/>
      <c r="H15" t="s">
        <v>1116</v>
      </c>
      <c r="I15">
        <v>0.6</v>
      </c>
    </row>
    <row r="16" spans="1:18" ht="17.5">
      <c r="B16" s="265" t="s">
        <v>1117</v>
      </c>
      <c r="C16">
        <v>0.86250000000000004</v>
      </c>
      <c r="D16">
        <v>0.22</v>
      </c>
      <c r="E16">
        <v>0.86</v>
      </c>
      <c r="F16" s="255"/>
      <c r="H16" t="s">
        <v>1118</v>
      </c>
      <c r="I16">
        <v>0.4</v>
      </c>
      <c r="R16" s="1" t="s">
        <v>1119</v>
      </c>
    </row>
    <row r="17" spans="2:30" ht="17.5">
      <c r="B17" s="265" t="s">
        <v>1120</v>
      </c>
      <c r="C17">
        <v>0.86250000000000004</v>
      </c>
      <c r="D17">
        <v>0.22</v>
      </c>
      <c r="E17">
        <v>0.86</v>
      </c>
      <c r="F17" s="255"/>
      <c r="H17" t="s">
        <v>1121</v>
      </c>
      <c r="I17">
        <v>0.3</v>
      </c>
    </row>
    <row r="18" spans="2:30" ht="17.5">
      <c r="B18" s="265" t="s">
        <v>644</v>
      </c>
      <c r="C18">
        <v>0.97499999999999998</v>
      </c>
      <c r="D18">
        <v>0.22</v>
      </c>
      <c r="E18">
        <v>0.86</v>
      </c>
      <c r="F18" s="256"/>
    </row>
    <row r="19" spans="2:30" ht="144">
      <c r="B19" s="265" t="s">
        <v>1122</v>
      </c>
      <c r="C19">
        <v>0.66</v>
      </c>
      <c r="D19">
        <v>0.2</v>
      </c>
      <c r="E19">
        <v>0.2</v>
      </c>
      <c r="F19" s="256"/>
      <c r="H19" s="267"/>
      <c r="I19" s="268" t="s">
        <v>1123</v>
      </c>
      <c r="J19" s="268" t="s">
        <v>1124</v>
      </c>
      <c r="K19" s="268" t="s">
        <v>1125</v>
      </c>
      <c r="L19" s="268" t="s">
        <v>1126</v>
      </c>
      <c r="M19" s="268" t="s">
        <v>1127</v>
      </c>
      <c r="N19" s="269" t="s">
        <v>1128</v>
      </c>
      <c r="O19" s="270" t="s">
        <v>1129</v>
      </c>
      <c r="P19" s="271" t="s">
        <v>1130</v>
      </c>
      <c r="Q19" s="270" t="s">
        <v>1131</v>
      </c>
      <c r="R19" s="270" t="s">
        <v>1132</v>
      </c>
      <c r="S19" s="272" t="s">
        <v>1133</v>
      </c>
      <c r="T19" s="273" t="s">
        <v>1134</v>
      </c>
      <c r="U19" s="271" t="s">
        <v>1135</v>
      </c>
      <c r="V19" s="273" t="s">
        <v>1136</v>
      </c>
      <c r="W19" s="273" t="s">
        <v>1137</v>
      </c>
      <c r="X19" s="274" t="s">
        <v>1138</v>
      </c>
      <c r="Y19" s="275" t="s">
        <v>1139</v>
      </c>
      <c r="Z19" s="276" t="s">
        <v>1140</v>
      </c>
      <c r="AA19" s="276" t="s">
        <v>1141</v>
      </c>
      <c r="AB19" s="277" t="s">
        <v>1142</v>
      </c>
      <c r="AC19" s="277" t="s">
        <v>1143</v>
      </c>
      <c r="AD19" s="277" t="s">
        <v>1144</v>
      </c>
    </row>
    <row r="20" spans="2:30" ht="18">
      <c r="B20" s="265" t="s">
        <v>648</v>
      </c>
      <c r="C20">
        <v>1.71</v>
      </c>
      <c r="D20">
        <v>0.22</v>
      </c>
      <c r="E20">
        <v>0.91</v>
      </c>
      <c r="F20" s="257"/>
      <c r="H20" s="222" t="str">
        <f>'C-sidumine'!D14</f>
        <v>Talinisu</v>
      </c>
      <c r="I20" s="278">
        <f>'C-sidumine'!F14*J20</f>
        <v>0</v>
      </c>
      <c r="J20" s="223">
        <f>IFERROR(VLOOKUP('C-sidumine'!D14,'C-taust'!$B$2:$F$65,4,FALSE),0)</f>
        <v>0.86</v>
      </c>
      <c r="K20" s="278">
        <f>IFERROR(VLOOKUP('C-sidumine'!D14,'C-taust'!$B$2:$F$65,2,FALSE),0)</f>
        <v>0.875</v>
      </c>
      <c r="L20" s="278">
        <f t="shared" ref="L20:L39" si="3">K20*I20</f>
        <v>0</v>
      </c>
      <c r="M20" s="223">
        <f>IFERROR(VLOOKUP('C-sidumine'!D14,'C-taust'!$B$2:$F$65,3,FALSE),0)</f>
        <v>0.23</v>
      </c>
      <c r="N20" s="279">
        <f>L20*M20</f>
        <v>0</v>
      </c>
      <c r="O20" s="223">
        <f>'C-sidumine'!N14</f>
        <v>0</v>
      </c>
      <c r="P20" s="280">
        <f>IFERROR(VLOOKUP('C-sidumine'!L14,$B$2:$F$65,4,FALSE),0)</f>
        <v>0</v>
      </c>
      <c r="Q20" s="223">
        <f>O20*'C-sidumine'!M14</f>
        <v>0</v>
      </c>
      <c r="R20" s="223">
        <f>IFERROR(VLOOKUP('C-sidumine'!L14,'C-taust'!$B$2:$F$65,3, FALSE),0)</f>
        <v>0</v>
      </c>
      <c r="S20" s="281">
        <f>Q20*R20</f>
        <v>0</v>
      </c>
      <c r="T20" s="223">
        <f>'C-sidumine'!J14</f>
        <v>0</v>
      </c>
      <c r="U20" s="287">
        <f>IFERROR(VLOOKUP('C-sidumine'!I14,'C-taust'!$B$2:$F$65, 4, FALSE),0)</f>
        <v>0</v>
      </c>
      <c r="V20" s="223">
        <f>T20</f>
        <v>0</v>
      </c>
      <c r="W20" s="223">
        <f>IFERROR(VLOOKUP('C-sidumine'!I14,'C-taust'!$B$2:$F$65, 3, FALSE),0)</f>
        <v>0</v>
      </c>
      <c r="X20" s="279">
        <f>V20*W20</f>
        <v>0</v>
      </c>
      <c r="Y20" s="282">
        <f>IFERROR(VLOOKUP('C-sidumine'!P14,'C-taust'!$B$2:$F$65,4,FALSE),0)*'C-sidumine'!R14*IFERROR(VLOOKUP('C-sidumine'!P14,'C-taust'!$B$2:$F$65,5,FALSE),0)*'C-sidumine'!Q14</f>
        <v>0</v>
      </c>
      <c r="Z20" s="282">
        <f>IFERROR(VLOOKUP('C-sidumine'!S14,'C-taust'!$B$2:$F$65,4,FALSE),0)*'C-sidumine'!U14*IFERROR(VLOOKUP('C-sidumine'!S14,'C-taust'!$B$2:$F$65,5,FALSE),0)*'C-sidumine'!T14</f>
        <v>0</v>
      </c>
      <c r="AA20" s="282">
        <f>IFERROR(VLOOKUP('C-sidumine'!V14,'C-taust'!$B$2:$F$65,4,FALSE),0)*'C-sidumine'!X14*IFERROR(VLOOKUP('C-sidumine'!V14,'C-taust'!$B$2:$F$65,5,FALSE),0)*'C-sidumine'!W14</f>
        <v>0</v>
      </c>
      <c r="AB20" s="278">
        <f>(L20*'C-sidumine'!G14*0.45)+(Q20*0.45)+(V20*0.45)</f>
        <v>0</v>
      </c>
      <c r="AC20" s="278">
        <f>(N20*0.45)+(S20*0.45)+(X20*0.45)</f>
        <v>0</v>
      </c>
      <c r="AD20" s="278">
        <f>SUM(Y20:AA20)</f>
        <v>0</v>
      </c>
    </row>
    <row r="21" spans="2:30" ht="18">
      <c r="B21" s="265" t="s">
        <v>650</v>
      </c>
      <c r="C21">
        <v>1.38</v>
      </c>
      <c r="D21">
        <v>0.22</v>
      </c>
      <c r="E21">
        <v>0.91</v>
      </c>
      <c r="F21" s="258"/>
      <c r="H21" s="222">
        <f>'C-sidumine'!D15</f>
        <v>0</v>
      </c>
      <c r="I21" s="278">
        <f>'C-sidumine'!F15*J21</f>
        <v>0</v>
      </c>
      <c r="J21" s="223">
        <f>IFERROR(VLOOKUP('C-sidumine'!D15,'C-taust'!$B$2:$F$65,4,FALSE),0)</f>
        <v>0</v>
      </c>
      <c r="K21" s="278">
        <f>IFERROR(VLOOKUP('C-sidumine'!D15,'C-taust'!$B$2:$F$65,2,FALSE),0)</f>
        <v>0</v>
      </c>
      <c r="L21" s="278">
        <f t="shared" si="3"/>
        <v>0</v>
      </c>
      <c r="M21" s="223">
        <f>IFERROR(VLOOKUP('C-sidumine'!D15,'C-taust'!$B$2:$F$65,3,FALSE),0)</f>
        <v>0</v>
      </c>
      <c r="N21" s="279">
        <f t="shared" ref="N21:N61" si="4">L21*M21</f>
        <v>0</v>
      </c>
      <c r="O21" s="223">
        <f>'C-sidumine'!N15</f>
        <v>0</v>
      </c>
      <c r="P21" s="280">
        <f>IFERROR(VLOOKUP('C-sidumine'!L15,$B$2:$F$65,4,FALSE),0)</f>
        <v>0</v>
      </c>
      <c r="Q21" s="223">
        <f>O21*'C-sidumine'!M15</f>
        <v>0</v>
      </c>
      <c r="R21" s="223">
        <f>IFERROR(VLOOKUP('C-sidumine'!L15,'C-taust'!$B$2:$F$65,3, FALSE),0)</f>
        <v>0</v>
      </c>
      <c r="S21" s="281">
        <f t="shared" ref="S21:S39" si="5">Q21*R21</f>
        <v>0</v>
      </c>
      <c r="T21" s="223">
        <f>'C-sidumine'!J15</f>
        <v>0</v>
      </c>
      <c r="U21" s="287">
        <f>IFERROR(VLOOKUP('C-sidumine'!I15,'C-taust'!$B$2:$F$65, 4, FALSE),0)</f>
        <v>0</v>
      </c>
      <c r="V21" s="223">
        <f t="shared" ref="V21:V39" si="6">T21</f>
        <v>0</v>
      </c>
      <c r="W21" s="223">
        <f>IFERROR(VLOOKUP('C-sidumine'!I15,'C-taust'!$B$2:$F$65, 3, FALSE),0)</f>
        <v>0</v>
      </c>
      <c r="X21" s="279">
        <f t="shared" ref="X21:X39" si="7">V21*W21</f>
        <v>0</v>
      </c>
      <c r="Y21" s="282">
        <f>IFERROR(VLOOKUP('C-sidumine'!P15,'C-taust'!$B$2:$F$65,4,FALSE),0)*'C-sidumine'!R15*IFERROR(VLOOKUP('C-sidumine'!P15,'C-taust'!$B$2:$F$65,5,FALSE),0)*'C-sidumine'!Q15</f>
        <v>0</v>
      </c>
      <c r="Z21" s="282">
        <f>IFERROR(VLOOKUP('C-sidumine'!S15,'C-taust'!$B$2:$F$65,4,FALSE),0)*'C-sidumine'!U15*IFERROR(VLOOKUP('C-sidumine'!S15,'C-taust'!$B$2:$F$65,5,FALSE),0)*'C-sidumine'!T15</f>
        <v>0</v>
      </c>
      <c r="AA21" s="282">
        <f>IFERROR(VLOOKUP('C-sidumine'!V15,'C-taust'!$B$2:$F$65,4,FALSE),0)*'C-sidumine'!X15*IFERROR(VLOOKUP('C-sidumine'!V15,'C-taust'!$B$2:$F$65,5,FALSE),0)*'C-sidumine'!W15</f>
        <v>0</v>
      </c>
      <c r="AB21" s="278">
        <f>(L21*'C-sidumine'!G15*0.45)+(Q21*0.45)+(V21*0.45)</f>
        <v>0</v>
      </c>
      <c r="AC21" s="278">
        <f t="shared" ref="AC21:AC39" si="8">(N21*0.45)+(S21*0.45)+(X21*0.45)</f>
        <v>0</v>
      </c>
      <c r="AD21" s="278">
        <f t="shared" ref="AD21:AD62" si="9">SUM(Y21:AA21)</f>
        <v>0</v>
      </c>
    </row>
    <row r="22" spans="2:30" ht="18">
      <c r="B22" s="265" t="s">
        <v>651</v>
      </c>
      <c r="C22">
        <v>1.71</v>
      </c>
      <c r="D22">
        <v>0.22</v>
      </c>
      <c r="E22">
        <v>0.91</v>
      </c>
      <c r="F22" s="250"/>
      <c r="H22" s="222">
        <f>'C-sidumine'!D16</f>
        <v>0</v>
      </c>
      <c r="I22" s="278">
        <f>'C-sidumine'!F16*J22</f>
        <v>0</v>
      </c>
      <c r="J22" s="223">
        <f>IFERROR(VLOOKUP('C-sidumine'!D16,'C-taust'!$B$2:$F$65,4,FALSE),0)</f>
        <v>0</v>
      </c>
      <c r="K22" s="278">
        <f>IFERROR(VLOOKUP('C-sidumine'!D16,'C-taust'!$B$2:$F$65,2,FALSE),0)</f>
        <v>0</v>
      </c>
      <c r="L22" s="278">
        <f t="shared" si="3"/>
        <v>0</v>
      </c>
      <c r="M22" s="223">
        <f>IFERROR(VLOOKUP('C-sidumine'!D16,'C-taust'!$B$2:$F$65,3,FALSE),0)</f>
        <v>0</v>
      </c>
      <c r="N22" s="279">
        <f t="shared" si="4"/>
        <v>0</v>
      </c>
      <c r="O22" s="223">
        <f>'C-sidumine'!N16</f>
        <v>0</v>
      </c>
      <c r="P22" s="280">
        <f>IFERROR(VLOOKUP('C-sidumine'!L16,$B$2:$F$65,4,FALSE),0)</f>
        <v>0</v>
      </c>
      <c r="Q22" s="223">
        <f>O22*'C-sidumine'!M16</f>
        <v>0</v>
      </c>
      <c r="R22" s="223">
        <f>IFERROR(VLOOKUP('C-sidumine'!L16,'C-taust'!$B$2:$F$65,3, FALSE),0)</f>
        <v>0</v>
      </c>
      <c r="S22" s="281">
        <f t="shared" si="5"/>
        <v>0</v>
      </c>
      <c r="T22" s="223">
        <f>'C-sidumine'!J16</f>
        <v>0</v>
      </c>
      <c r="U22" s="287">
        <f>IFERROR(VLOOKUP('C-sidumine'!I16,'C-taust'!$B$2:$F$65, 4, FALSE),0)</f>
        <v>0</v>
      </c>
      <c r="V22" s="223">
        <f t="shared" si="6"/>
        <v>0</v>
      </c>
      <c r="W22" s="223">
        <f>IFERROR(VLOOKUP('C-sidumine'!I16,'C-taust'!$B$2:$F$65, 3, FALSE),0)</f>
        <v>0</v>
      </c>
      <c r="X22" s="279">
        <f t="shared" si="7"/>
        <v>0</v>
      </c>
      <c r="Y22" s="282">
        <f>IFERROR(VLOOKUP('C-sidumine'!P16,'C-taust'!$B$2:$F$65,4,FALSE),0)*'C-sidumine'!R16*IFERROR(VLOOKUP('C-sidumine'!P16,'C-taust'!$B$2:$F$65,5,FALSE),0)*'C-sidumine'!Q16</f>
        <v>0</v>
      </c>
      <c r="Z22" s="282">
        <f>IFERROR(VLOOKUP('C-sidumine'!S16,'C-taust'!$B$2:$F$65,4,FALSE),0)*'C-sidumine'!U16*IFERROR(VLOOKUP('C-sidumine'!S16,'C-taust'!$B$2:$F$65,5,FALSE),0)*'C-sidumine'!T16</f>
        <v>0</v>
      </c>
      <c r="AA22" s="282">
        <f>IFERROR(VLOOKUP('C-sidumine'!V16,'C-taust'!$B$2:$F$65,4,FALSE),0)*'C-sidumine'!X16*IFERROR(VLOOKUP('C-sidumine'!V16,'C-taust'!$B$2:$F$65,5,FALSE),0)*'C-sidumine'!W16</f>
        <v>0</v>
      </c>
      <c r="AB22" s="278">
        <f>(L22*'C-sidumine'!G16*0.45)+(Q22*0.45)+(V22*0.45)</f>
        <v>0</v>
      </c>
      <c r="AC22" s="278">
        <f t="shared" si="8"/>
        <v>0</v>
      </c>
      <c r="AD22" s="278">
        <f t="shared" si="9"/>
        <v>0</v>
      </c>
    </row>
    <row r="23" spans="2:30" ht="18">
      <c r="B23" s="265" t="s">
        <v>654</v>
      </c>
      <c r="C23">
        <v>1.38</v>
      </c>
      <c r="D23">
        <v>0.22</v>
      </c>
      <c r="E23">
        <v>0.91</v>
      </c>
      <c r="F23" s="259"/>
      <c r="H23" s="222">
        <f>'C-sidumine'!D17</f>
        <v>0</v>
      </c>
      <c r="I23" s="278">
        <f>'C-sidumine'!F17*J23</f>
        <v>0</v>
      </c>
      <c r="J23" s="223">
        <f>IFERROR(VLOOKUP('C-sidumine'!D17,'C-taust'!$B$2:$F$65,4,FALSE),0)</f>
        <v>0</v>
      </c>
      <c r="K23" s="278">
        <f>IFERROR(VLOOKUP('C-sidumine'!D17,'C-taust'!$B$2:$F$65,2,FALSE),0)</f>
        <v>0</v>
      </c>
      <c r="L23" s="278">
        <f t="shared" si="3"/>
        <v>0</v>
      </c>
      <c r="M23" s="223">
        <f>IFERROR(VLOOKUP('C-sidumine'!D17,'C-taust'!$B$2:$F$65,3,FALSE),0)</f>
        <v>0</v>
      </c>
      <c r="N23" s="279">
        <f t="shared" si="4"/>
        <v>0</v>
      </c>
      <c r="O23" s="223">
        <f>'C-sidumine'!N17</f>
        <v>0</v>
      </c>
      <c r="P23" s="280">
        <f>IFERROR(VLOOKUP('C-sidumine'!L17,$B$2:$F$65,4,FALSE),0)</f>
        <v>0</v>
      </c>
      <c r="Q23" s="223">
        <f>O23*'C-sidumine'!M17</f>
        <v>0</v>
      </c>
      <c r="R23" s="223">
        <f>IFERROR(VLOOKUP('C-sidumine'!L17,'C-taust'!$B$2:$F$65,3, FALSE),0)</f>
        <v>0</v>
      </c>
      <c r="S23" s="281">
        <f t="shared" si="5"/>
        <v>0</v>
      </c>
      <c r="T23" s="223">
        <f>'C-sidumine'!J17</f>
        <v>0</v>
      </c>
      <c r="U23" s="287">
        <f>IFERROR(VLOOKUP('C-sidumine'!I17,'C-taust'!$B$2:$F$65, 4, FALSE),0)</f>
        <v>0</v>
      </c>
      <c r="V23" s="223">
        <f t="shared" si="6"/>
        <v>0</v>
      </c>
      <c r="W23" s="223">
        <f>IFERROR(VLOOKUP('C-sidumine'!I17,'C-taust'!$B$2:$F$65, 3, FALSE),0)</f>
        <v>0</v>
      </c>
      <c r="X23" s="279">
        <f t="shared" si="7"/>
        <v>0</v>
      </c>
      <c r="Y23" s="282">
        <f>IFERROR(VLOOKUP('C-sidumine'!P17,'C-taust'!$B$2:$F$65,4,FALSE),0)*'C-sidumine'!R17*IFERROR(VLOOKUP('C-sidumine'!P17,'C-taust'!$B$2:$F$65,5,FALSE),0)*'C-sidumine'!Q17</f>
        <v>0</v>
      </c>
      <c r="Z23" s="282">
        <f>IFERROR(VLOOKUP('C-sidumine'!S17,'C-taust'!$B$2:$F$65,4,FALSE),0)*'C-sidumine'!U17*IFERROR(VLOOKUP('C-sidumine'!S17,'C-taust'!$B$2:$F$65,5,FALSE),0)*'C-sidumine'!T17</f>
        <v>0</v>
      </c>
      <c r="AA23" s="282">
        <f>IFERROR(VLOOKUP('C-sidumine'!V17,'C-taust'!$B$2:$F$65,4,FALSE),0)*'C-sidumine'!X17*IFERROR(VLOOKUP('C-sidumine'!V17,'C-taust'!$B$2:$F$65,5,FALSE),0)*'C-sidumine'!W17</f>
        <v>0</v>
      </c>
      <c r="AB23" s="278">
        <f>(L23*'C-sidumine'!G17*0.45)+(Q23*0.45)+(V23*0.45)</f>
        <v>0</v>
      </c>
      <c r="AC23" s="278">
        <f t="shared" si="8"/>
        <v>0</v>
      </c>
      <c r="AD23" s="278">
        <f t="shared" si="9"/>
        <v>0</v>
      </c>
    </row>
    <row r="24" spans="2:30" ht="18">
      <c r="B24" s="265" t="s">
        <v>1145</v>
      </c>
      <c r="C24">
        <v>1.3</v>
      </c>
      <c r="D24">
        <v>0.22</v>
      </c>
      <c r="E24">
        <v>0.91</v>
      </c>
      <c r="F24" s="258"/>
      <c r="H24" s="222">
        <f>'C-sidumine'!D18</f>
        <v>0</v>
      </c>
      <c r="I24" s="278">
        <f>'C-sidumine'!F18*J24</f>
        <v>0</v>
      </c>
      <c r="J24" s="223">
        <f>IFERROR(VLOOKUP('C-sidumine'!D18,'C-taust'!$B$2:$F$65,4,FALSE),0)</f>
        <v>0</v>
      </c>
      <c r="K24" s="278">
        <f>IFERROR(VLOOKUP('C-sidumine'!D18,'C-taust'!$B$2:$F$65,2,FALSE),0)</f>
        <v>0</v>
      </c>
      <c r="L24" s="278">
        <f t="shared" si="3"/>
        <v>0</v>
      </c>
      <c r="M24" s="223">
        <f>IFERROR(VLOOKUP('C-sidumine'!D18,'C-taust'!$B$2:$F$65,3,FALSE),0)</f>
        <v>0</v>
      </c>
      <c r="N24" s="279">
        <f t="shared" si="4"/>
        <v>0</v>
      </c>
      <c r="O24" s="223">
        <f>'C-sidumine'!N18</f>
        <v>0</v>
      </c>
      <c r="P24" s="280">
        <f>IFERROR(VLOOKUP('C-sidumine'!L18,$B$2:$F$65,4,FALSE),0)</f>
        <v>0</v>
      </c>
      <c r="Q24" s="223">
        <f>O24*'C-sidumine'!M18</f>
        <v>0</v>
      </c>
      <c r="R24" s="223">
        <f>IFERROR(VLOOKUP('C-sidumine'!L18,'C-taust'!$B$2:$F$65,3, FALSE),0)</f>
        <v>0</v>
      </c>
      <c r="S24" s="281">
        <f t="shared" si="5"/>
        <v>0</v>
      </c>
      <c r="T24" s="223">
        <f>'C-sidumine'!J18</f>
        <v>0</v>
      </c>
      <c r="U24" s="287">
        <f>IFERROR(VLOOKUP('C-sidumine'!I18,'C-taust'!$B$2:$F$65, 4, FALSE),0)</f>
        <v>0</v>
      </c>
      <c r="V24" s="223">
        <f t="shared" si="6"/>
        <v>0</v>
      </c>
      <c r="W24" s="223">
        <f>IFERROR(VLOOKUP('C-sidumine'!I18,'C-taust'!$B$2:$F$65, 3, FALSE),0)</f>
        <v>0</v>
      </c>
      <c r="X24" s="279">
        <f t="shared" si="7"/>
        <v>0</v>
      </c>
      <c r="Y24" s="282">
        <f>IFERROR(VLOOKUP('C-sidumine'!P18,'C-taust'!$B$2:$F$65,4,FALSE),0)*'C-sidumine'!R18*IFERROR(VLOOKUP('C-sidumine'!P18,'C-taust'!$B$2:$F$65,5,FALSE),0)*'C-sidumine'!Q18</f>
        <v>0</v>
      </c>
      <c r="Z24" s="282">
        <f>IFERROR(VLOOKUP('C-sidumine'!S18,'C-taust'!$B$2:$F$65,4,FALSE),0)*'C-sidumine'!U18*IFERROR(VLOOKUP('C-sidumine'!S18,'C-taust'!$B$2:$F$65,5,FALSE),0)*'C-sidumine'!T18</f>
        <v>0</v>
      </c>
      <c r="AA24" s="282">
        <f>IFERROR(VLOOKUP('C-sidumine'!V18,'C-taust'!$B$2:$F$65,4,FALSE),0)*'C-sidumine'!X18*IFERROR(VLOOKUP('C-sidumine'!V18,'C-taust'!$B$2:$F$65,5,FALSE),0)*'C-sidumine'!W18</f>
        <v>0</v>
      </c>
      <c r="AB24" s="278">
        <f>(L24*'C-sidumine'!G18*0.45)+(Q24*0.45)+(V24*0.45)</f>
        <v>0</v>
      </c>
      <c r="AC24" s="278">
        <f t="shared" si="8"/>
        <v>0</v>
      </c>
      <c r="AD24" s="278">
        <f t="shared" si="9"/>
        <v>0</v>
      </c>
    </row>
    <row r="25" spans="2:30" ht="18">
      <c r="B25" s="265" t="s">
        <v>1146</v>
      </c>
      <c r="C25">
        <v>0.4</v>
      </c>
      <c r="D25" s="63">
        <v>0.2</v>
      </c>
      <c r="E25">
        <v>0.2</v>
      </c>
      <c r="F25" s="258"/>
      <c r="H25" s="222">
        <f>'C-sidumine'!D19</f>
        <v>0</v>
      </c>
      <c r="I25" s="278">
        <f>'C-sidumine'!F19*J25</f>
        <v>0</v>
      </c>
      <c r="J25" s="223">
        <f>IFERROR(VLOOKUP('C-sidumine'!D19,'C-taust'!$B$2:$F$65,4,FALSE),0)</f>
        <v>0</v>
      </c>
      <c r="K25" s="278">
        <f>IFERROR(VLOOKUP('C-sidumine'!D19,'C-taust'!$B$2:$F$65,2,FALSE),0)</f>
        <v>0</v>
      </c>
      <c r="L25" s="278">
        <f t="shared" si="3"/>
        <v>0</v>
      </c>
      <c r="M25" s="223">
        <f>IFERROR(VLOOKUP('C-sidumine'!D19,'C-taust'!$B$2:$F$65,3,FALSE),0)</f>
        <v>0</v>
      </c>
      <c r="N25" s="279">
        <f t="shared" si="4"/>
        <v>0</v>
      </c>
      <c r="O25" s="223">
        <f>'C-sidumine'!N19</f>
        <v>0</v>
      </c>
      <c r="P25" s="280">
        <f>IFERROR(VLOOKUP('C-sidumine'!L19,$B$2:$F$65,4,FALSE),0)</f>
        <v>0</v>
      </c>
      <c r="Q25" s="223">
        <f>O25*'C-sidumine'!M19</f>
        <v>0</v>
      </c>
      <c r="R25" s="223">
        <f>IFERROR(VLOOKUP('C-sidumine'!L19,'C-taust'!$B$2:$F$65,3, FALSE),0)</f>
        <v>0</v>
      </c>
      <c r="S25" s="281">
        <f t="shared" si="5"/>
        <v>0</v>
      </c>
      <c r="T25" s="223">
        <f>'C-sidumine'!J19</f>
        <v>0</v>
      </c>
      <c r="U25" s="287">
        <f>IFERROR(VLOOKUP('C-sidumine'!I19,'C-taust'!$B$2:$F$65, 4, FALSE),0)</f>
        <v>0</v>
      </c>
      <c r="V25" s="223">
        <f t="shared" si="6"/>
        <v>0</v>
      </c>
      <c r="W25" s="223">
        <f>IFERROR(VLOOKUP('C-sidumine'!I19,'C-taust'!$B$2:$F$65, 3, FALSE),0)</f>
        <v>0</v>
      </c>
      <c r="X25" s="279">
        <f t="shared" si="7"/>
        <v>0</v>
      </c>
      <c r="Y25" s="282">
        <f>IFERROR(VLOOKUP('C-sidumine'!P19,'C-taust'!$B$2:$F$65,4,FALSE),0)*'C-sidumine'!R19*IFERROR(VLOOKUP('C-sidumine'!P19,'C-taust'!$B$2:$F$65,5,FALSE),0)*'C-sidumine'!Q19</f>
        <v>0</v>
      </c>
      <c r="Z25" s="282">
        <f>IFERROR(VLOOKUP('C-sidumine'!S19,'C-taust'!$B$2:$F$65,4,FALSE),0)*'C-sidumine'!U19*IFERROR(VLOOKUP('C-sidumine'!S19,'C-taust'!$B$2:$F$65,5,FALSE),0)*'C-sidumine'!T19</f>
        <v>0</v>
      </c>
      <c r="AA25" s="282">
        <f>IFERROR(VLOOKUP('C-sidumine'!V19,'C-taust'!$B$2:$F$65,4,FALSE),0)*'C-sidumine'!X19*IFERROR(VLOOKUP('C-sidumine'!V19,'C-taust'!$B$2:$F$65,5,FALSE),0)*'C-sidumine'!W19</f>
        <v>0</v>
      </c>
      <c r="AB25" s="278">
        <f>(L25*'C-sidumine'!G19*0.45)+(Q25*0.45)+(V25*0.45)</f>
        <v>0</v>
      </c>
      <c r="AC25" s="278">
        <f t="shared" si="8"/>
        <v>0</v>
      </c>
      <c r="AD25" s="278">
        <f t="shared" si="9"/>
        <v>0</v>
      </c>
    </row>
    <row r="26" spans="2:30" ht="18">
      <c r="B26" s="265" t="s">
        <v>1147</v>
      </c>
      <c r="C26">
        <v>2.2999999999999998</v>
      </c>
      <c r="D26">
        <v>0.22</v>
      </c>
      <c r="E26">
        <v>0.86</v>
      </c>
      <c r="F26" s="258"/>
      <c r="H26" s="222">
        <f>'C-sidumine'!D20</f>
        <v>0</v>
      </c>
      <c r="I26" s="278">
        <f>'C-sidumine'!F20*J26</f>
        <v>0</v>
      </c>
      <c r="J26" s="223">
        <f>IFERROR(VLOOKUP('C-sidumine'!D20,'C-taust'!$B$2:$F$65,4,FALSE),0)</f>
        <v>0</v>
      </c>
      <c r="K26" s="278">
        <f>IFERROR(VLOOKUP('C-sidumine'!D20,'C-taust'!$B$2:$F$65,2,FALSE),0)</f>
        <v>0</v>
      </c>
      <c r="L26" s="278">
        <f t="shared" si="3"/>
        <v>0</v>
      </c>
      <c r="M26" s="223">
        <f>IFERROR(VLOOKUP('C-sidumine'!D20,'C-taust'!$B$2:$F$65,3,FALSE),0)</f>
        <v>0</v>
      </c>
      <c r="N26" s="279">
        <f t="shared" si="4"/>
        <v>0</v>
      </c>
      <c r="O26" s="223">
        <f>'C-sidumine'!N20</f>
        <v>0</v>
      </c>
      <c r="P26" s="280">
        <f>IFERROR(VLOOKUP('C-sidumine'!L20,$B$2:$F$65,4,FALSE),0)</f>
        <v>0</v>
      </c>
      <c r="Q26" s="223">
        <f>O26*'C-sidumine'!M20</f>
        <v>0</v>
      </c>
      <c r="R26" s="223">
        <f>IFERROR(VLOOKUP('C-sidumine'!L20,'C-taust'!$B$2:$F$65,3, FALSE),0)</f>
        <v>0</v>
      </c>
      <c r="S26" s="281">
        <f t="shared" si="5"/>
        <v>0</v>
      </c>
      <c r="T26" s="223">
        <f>'C-sidumine'!J20</f>
        <v>0</v>
      </c>
      <c r="U26" s="287">
        <f>IFERROR(VLOOKUP('C-sidumine'!I20,'C-taust'!$B$2:$F$65, 4, FALSE),0)</f>
        <v>0</v>
      </c>
      <c r="V26" s="223">
        <f t="shared" si="6"/>
        <v>0</v>
      </c>
      <c r="W26" s="223">
        <f>IFERROR(VLOOKUP('C-sidumine'!I20,'C-taust'!$B$2:$F$65, 3, FALSE),0)</f>
        <v>0</v>
      </c>
      <c r="X26" s="279">
        <f t="shared" si="7"/>
        <v>0</v>
      </c>
      <c r="Y26" s="282">
        <f>IFERROR(VLOOKUP('C-sidumine'!P20,'C-taust'!$B$2:$F$65,4,FALSE),0)*'C-sidumine'!R20*IFERROR(VLOOKUP('C-sidumine'!P20,'C-taust'!$B$2:$F$65,5,FALSE),0)*'C-sidumine'!Q20</f>
        <v>0</v>
      </c>
      <c r="Z26" s="282">
        <f>IFERROR(VLOOKUP('C-sidumine'!S20,'C-taust'!$B$2:$F$65,4,FALSE),0)*'C-sidumine'!U20*IFERROR(VLOOKUP('C-sidumine'!S20,'C-taust'!$B$2:$F$65,5,FALSE),0)*'C-sidumine'!T20</f>
        <v>0</v>
      </c>
      <c r="AA26" s="282">
        <f>IFERROR(VLOOKUP('C-sidumine'!V20,'C-taust'!$B$2:$F$65,4,FALSE),0)*'C-sidumine'!X20*IFERROR(VLOOKUP('C-sidumine'!V20,'C-taust'!$B$2:$F$65,5,FALSE),0)*'C-sidumine'!W20</f>
        <v>0</v>
      </c>
      <c r="AB26" s="278">
        <f>(L26*'C-sidumine'!G20*0.45)+(Q26*0.45)+(V26*0.45)</f>
        <v>0</v>
      </c>
      <c r="AC26" s="278">
        <f t="shared" si="8"/>
        <v>0</v>
      </c>
      <c r="AD26" s="278">
        <f t="shared" si="9"/>
        <v>0</v>
      </c>
    </row>
    <row r="27" spans="2:30" ht="18">
      <c r="B27" s="265" t="s">
        <v>983</v>
      </c>
      <c r="C27">
        <v>1.4</v>
      </c>
      <c r="D27">
        <v>0.19</v>
      </c>
      <c r="E27">
        <v>0.86</v>
      </c>
      <c r="F27" s="253"/>
      <c r="H27" s="222">
        <f>'C-sidumine'!D21</f>
        <v>0</v>
      </c>
      <c r="I27" s="278">
        <f>'C-sidumine'!F21*J27</f>
        <v>0</v>
      </c>
      <c r="J27" s="223">
        <f>IFERROR(VLOOKUP('C-sidumine'!D21,'C-taust'!$B$2:$F$65,4,FALSE),0)</f>
        <v>0</v>
      </c>
      <c r="K27" s="278">
        <f>IFERROR(VLOOKUP('C-sidumine'!D21,'C-taust'!$B$2:$F$65,2,FALSE),0)</f>
        <v>0</v>
      </c>
      <c r="L27" s="278">
        <f t="shared" si="3"/>
        <v>0</v>
      </c>
      <c r="M27" s="223">
        <f>IFERROR(VLOOKUP('C-sidumine'!D21,'C-taust'!$B$2:$F$65,3,FALSE),0)</f>
        <v>0</v>
      </c>
      <c r="N27" s="279">
        <f t="shared" si="4"/>
        <v>0</v>
      </c>
      <c r="O27" s="223">
        <f>'C-sidumine'!N21</f>
        <v>0</v>
      </c>
      <c r="P27" s="280">
        <f>IFERROR(VLOOKUP('C-sidumine'!L21,$B$2:$F$65,4,FALSE),0)</f>
        <v>0</v>
      </c>
      <c r="Q27" s="223">
        <f>O27*'C-sidumine'!M21</f>
        <v>0</v>
      </c>
      <c r="R27" s="223">
        <f>IFERROR(VLOOKUP('C-sidumine'!L21,'C-taust'!$B$2:$F$65,3, FALSE),0)</f>
        <v>0</v>
      </c>
      <c r="S27" s="281">
        <f t="shared" si="5"/>
        <v>0</v>
      </c>
      <c r="T27" s="223">
        <f>'C-sidumine'!J21</f>
        <v>0</v>
      </c>
      <c r="U27" s="287">
        <f>IFERROR(VLOOKUP('C-sidumine'!I21,'C-taust'!$B$2:$F$65, 4, FALSE),0)</f>
        <v>0</v>
      </c>
      <c r="V27" s="223">
        <f t="shared" si="6"/>
        <v>0</v>
      </c>
      <c r="W27" s="223">
        <f>IFERROR(VLOOKUP('C-sidumine'!I21,'C-taust'!$B$2:$F$65, 3, FALSE),0)</f>
        <v>0</v>
      </c>
      <c r="X27" s="279">
        <f t="shared" si="7"/>
        <v>0</v>
      </c>
      <c r="Y27" s="282">
        <f>IFERROR(VLOOKUP('C-sidumine'!P21,'C-taust'!$B$2:$F$65,4,FALSE),0)*'C-sidumine'!R21*IFERROR(VLOOKUP('C-sidumine'!P21,'C-taust'!$B$2:$F$65,5,FALSE),0)*'C-sidumine'!Q21</f>
        <v>0</v>
      </c>
      <c r="Z27" s="282">
        <f>IFERROR(VLOOKUP('C-sidumine'!S21,'C-taust'!$B$2:$F$65,4,FALSE),0)*'C-sidumine'!U21*IFERROR(VLOOKUP('C-sidumine'!S21,'C-taust'!$B$2:$F$65,5,FALSE),0)*'C-sidumine'!T21</f>
        <v>0</v>
      </c>
      <c r="AA27" s="282">
        <f>IFERROR(VLOOKUP('C-sidumine'!V21,'C-taust'!$B$2:$F$65,4,FALSE),0)*'C-sidumine'!X21*IFERROR(VLOOKUP('C-sidumine'!V21,'C-taust'!$B$2:$F$65,5,FALSE),0)*'C-sidumine'!W21</f>
        <v>0</v>
      </c>
      <c r="AB27" s="278">
        <f>(L27*'C-sidumine'!G21*0.45)+(Q27*0.45)+(V27*0.45)</f>
        <v>0</v>
      </c>
      <c r="AC27" s="278">
        <f t="shared" si="8"/>
        <v>0</v>
      </c>
      <c r="AD27" s="278">
        <f t="shared" si="9"/>
        <v>0</v>
      </c>
    </row>
    <row r="28" spans="2:30" ht="18">
      <c r="B28" s="265" t="s">
        <v>984</v>
      </c>
      <c r="C28">
        <v>2.2000000000000002</v>
      </c>
      <c r="D28">
        <v>0.19</v>
      </c>
      <c r="E28">
        <v>0.86</v>
      </c>
      <c r="F28" s="251"/>
      <c r="H28" s="222">
        <f>'C-sidumine'!D22</f>
        <v>0</v>
      </c>
      <c r="I28" s="278">
        <f>'C-sidumine'!F22*J28</f>
        <v>0</v>
      </c>
      <c r="J28" s="223">
        <f>IFERROR(VLOOKUP('C-sidumine'!D22,'C-taust'!$B$2:$F$65,4,FALSE),0)</f>
        <v>0</v>
      </c>
      <c r="K28" s="278">
        <f>IFERROR(VLOOKUP('C-sidumine'!D22,'C-taust'!$B$2:$F$65,2,FALSE),0)</f>
        <v>0</v>
      </c>
      <c r="L28" s="278">
        <f t="shared" si="3"/>
        <v>0</v>
      </c>
      <c r="M28" s="223">
        <f>IFERROR(VLOOKUP('C-sidumine'!D22,'C-taust'!$B$2:$F$65,3,FALSE),0)</f>
        <v>0</v>
      </c>
      <c r="N28" s="279">
        <f t="shared" si="4"/>
        <v>0</v>
      </c>
      <c r="O28" s="223">
        <f>'C-sidumine'!N22</f>
        <v>0</v>
      </c>
      <c r="P28" s="280">
        <f>IFERROR(VLOOKUP('C-sidumine'!L22,$B$2:$F$65,4,FALSE),0)</f>
        <v>0</v>
      </c>
      <c r="Q28" s="223">
        <f>O28*'C-sidumine'!M22</f>
        <v>0</v>
      </c>
      <c r="R28" s="223">
        <f>IFERROR(VLOOKUP('C-sidumine'!L22,'C-taust'!$B$2:$F$65,3, FALSE),0)</f>
        <v>0</v>
      </c>
      <c r="S28" s="281">
        <f>Q28*R28</f>
        <v>0</v>
      </c>
      <c r="T28" s="223">
        <f>'C-sidumine'!J22</f>
        <v>0</v>
      </c>
      <c r="U28" s="287">
        <f>IFERROR(VLOOKUP('C-sidumine'!I22,'C-taust'!$B$2:$F$65, 4, FALSE),0)</f>
        <v>0</v>
      </c>
      <c r="V28" s="223">
        <f t="shared" si="6"/>
        <v>0</v>
      </c>
      <c r="W28" s="223">
        <f>IFERROR(VLOOKUP('C-sidumine'!I22,'C-taust'!$B$2:$F$65, 3, FALSE),0)</f>
        <v>0</v>
      </c>
      <c r="X28" s="279">
        <f t="shared" si="7"/>
        <v>0</v>
      </c>
      <c r="Y28" s="282">
        <f>IFERROR(VLOOKUP('C-sidumine'!P22,'C-taust'!$B$2:$F$65,4,FALSE),0)*'C-sidumine'!R22*IFERROR(VLOOKUP('C-sidumine'!P22,'C-taust'!$B$2:$F$65,5,FALSE),0)*'C-sidumine'!Q22</f>
        <v>0</v>
      </c>
      <c r="Z28" s="282">
        <f>IFERROR(VLOOKUP('C-sidumine'!S22,'C-taust'!$B$2:$F$65,4,FALSE),0)*'C-sidumine'!U22*IFERROR(VLOOKUP('C-sidumine'!S22,'C-taust'!$B$2:$F$65,5,FALSE),0)*'C-sidumine'!T22</f>
        <v>0</v>
      </c>
      <c r="AA28" s="282">
        <f>IFERROR(VLOOKUP('C-sidumine'!V22,'C-taust'!$B$2:$F$65,4,FALSE),0)*'C-sidumine'!X22*IFERROR(VLOOKUP('C-sidumine'!V22,'C-taust'!$B$2:$F$65,5,FALSE),0)*'C-sidumine'!W22</f>
        <v>0</v>
      </c>
      <c r="AB28" s="278">
        <f>(L28*'C-sidumine'!G22*0.45)+(Q28*0.45)+(V28*0.45)</f>
        <v>0</v>
      </c>
      <c r="AC28" s="278">
        <f t="shared" si="8"/>
        <v>0</v>
      </c>
      <c r="AD28" s="278">
        <f t="shared" si="9"/>
        <v>0</v>
      </c>
    </row>
    <row r="29" spans="2:30" ht="18">
      <c r="B29" s="265" t="s">
        <v>1148</v>
      </c>
      <c r="C29">
        <v>1.75</v>
      </c>
      <c r="D29">
        <v>0.19</v>
      </c>
      <c r="E29">
        <v>0.86</v>
      </c>
      <c r="F29" s="254"/>
      <c r="H29" s="222">
        <f>'C-sidumine'!D23</f>
        <v>0</v>
      </c>
      <c r="I29" s="278">
        <f>'C-sidumine'!F23*J29</f>
        <v>0</v>
      </c>
      <c r="J29" s="223">
        <f>IFERROR(VLOOKUP('C-sidumine'!D23,'C-taust'!$B$2:$F$65,4,FALSE),0)</f>
        <v>0</v>
      </c>
      <c r="K29" s="278">
        <f>IFERROR(VLOOKUP('C-sidumine'!D23,'C-taust'!$B$2:$F$65,2,FALSE),0)</f>
        <v>0</v>
      </c>
      <c r="L29" s="278">
        <f>K29*I29</f>
        <v>0</v>
      </c>
      <c r="M29" s="223">
        <f>IFERROR(VLOOKUP('C-sidumine'!D23,'C-taust'!$B$2:$F$65,3,FALSE),0)</f>
        <v>0</v>
      </c>
      <c r="N29" s="279">
        <f t="shared" si="4"/>
        <v>0</v>
      </c>
      <c r="O29" s="223">
        <f>'C-sidumine'!N23</f>
        <v>0</v>
      </c>
      <c r="P29" s="280">
        <f>IFERROR(VLOOKUP('C-sidumine'!L23,$B$2:$F$65,4,FALSE),0)</f>
        <v>0</v>
      </c>
      <c r="Q29" s="223">
        <f>O29*'C-sidumine'!M23</f>
        <v>0</v>
      </c>
      <c r="R29" s="223">
        <f>IFERROR(VLOOKUP('C-sidumine'!L23,'C-taust'!$B$2:$F$65,3, FALSE),0)</f>
        <v>0</v>
      </c>
      <c r="S29" s="281">
        <f t="shared" si="5"/>
        <v>0</v>
      </c>
      <c r="T29" s="223">
        <f>'C-sidumine'!J23</f>
        <v>0</v>
      </c>
      <c r="U29" s="287">
        <f>IFERROR(VLOOKUP('C-sidumine'!I23,'C-taust'!$B$2:$F$65, 4, FALSE),0)</f>
        <v>0</v>
      </c>
      <c r="V29" s="223">
        <f t="shared" si="6"/>
        <v>0</v>
      </c>
      <c r="W29" s="223">
        <f>IFERROR(VLOOKUP('C-sidumine'!I23,'C-taust'!$B$2:$F$65, 3, FALSE),0)</f>
        <v>0</v>
      </c>
      <c r="X29" s="279">
        <f t="shared" si="7"/>
        <v>0</v>
      </c>
      <c r="Y29" s="282">
        <f>IFERROR(VLOOKUP('C-sidumine'!P23,'C-taust'!$B$2:$F$65,4,FALSE),0)*'C-sidumine'!R23*IFERROR(VLOOKUP('C-sidumine'!P23,'C-taust'!$B$2:$F$65,5,FALSE),0)*'C-sidumine'!Q23</f>
        <v>0</v>
      </c>
      <c r="Z29" s="282">
        <f>IFERROR(VLOOKUP('C-sidumine'!S23,'C-taust'!$B$2:$F$65,4,FALSE),0)*'C-sidumine'!U23*IFERROR(VLOOKUP('C-sidumine'!S23,'C-taust'!$B$2:$F$65,5,FALSE),0)*'C-sidumine'!T23</f>
        <v>0</v>
      </c>
      <c r="AA29" s="282">
        <f>IFERROR(VLOOKUP('C-sidumine'!V23,'C-taust'!$B$2:$F$65,4,FALSE),0)*'C-sidumine'!X23*IFERROR(VLOOKUP('C-sidumine'!V23,'C-taust'!$B$2:$F$65,5,FALSE),0)*'C-sidumine'!W23</f>
        <v>0</v>
      </c>
      <c r="AB29" s="278">
        <f>(L29*'C-sidumine'!G23*0.45)+(Q29*0.45)+(V29*0.45)</f>
        <v>0</v>
      </c>
      <c r="AC29" s="278">
        <f t="shared" si="8"/>
        <v>0</v>
      </c>
      <c r="AD29" s="278">
        <f t="shared" si="9"/>
        <v>0</v>
      </c>
    </row>
    <row r="30" spans="2:30" ht="18">
      <c r="B30" s="260" t="s">
        <v>1149</v>
      </c>
      <c r="C30">
        <v>0.3</v>
      </c>
      <c r="D30" s="63">
        <v>0.2</v>
      </c>
      <c r="E30">
        <v>0.13</v>
      </c>
      <c r="F30" s="255"/>
      <c r="H30" s="222">
        <f>'C-sidumine'!D24</f>
        <v>0</v>
      </c>
      <c r="I30" s="278">
        <f>'C-sidumine'!F24*J30</f>
        <v>0</v>
      </c>
      <c r="J30" s="223">
        <f>IFERROR(VLOOKUP('C-sidumine'!D24,'C-taust'!$B$2:$F$65,4,FALSE),0)</f>
        <v>0</v>
      </c>
      <c r="K30" s="278">
        <f>IFERROR(VLOOKUP('C-sidumine'!D24,'C-taust'!$B$2:$F$65,2,FALSE),0)</f>
        <v>0</v>
      </c>
      <c r="L30" s="278">
        <f t="shared" si="3"/>
        <v>0</v>
      </c>
      <c r="M30" s="223">
        <f>IFERROR(VLOOKUP('C-sidumine'!D24,'C-taust'!$B$2:$F$65,3,FALSE),0)</f>
        <v>0</v>
      </c>
      <c r="N30" s="279">
        <f t="shared" si="4"/>
        <v>0</v>
      </c>
      <c r="O30" s="223">
        <f>'C-sidumine'!N24</f>
        <v>0</v>
      </c>
      <c r="P30" s="280">
        <f>IFERROR(VLOOKUP('C-sidumine'!L24,$B$2:$F$65,4,FALSE),0)</f>
        <v>0</v>
      </c>
      <c r="Q30" s="223">
        <f>O30*'C-sidumine'!M24</f>
        <v>0</v>
      </c>
      <c r="R30" s="223">
        <f>IFERROR(VLOOKUP('C-sidumine'!L24,'C-taust'!$B$2:$F$65,3, FALSE),0)</f>
        <v>0</v>
      </c>
      <c r="S30" s="281">
        <f t="shared" si="5"/>
        <v>0</v>
      </c>
      <c r="T30" s="223">
        <f>'C-sidumine'!J24</f>
        <v>0</v>
      </c>
      <c r="U30" s="287">
        <f>IFERROR(VLOOKUP('C-sidumine'!I24,'C-taust'!$B$2:$F$65, 4, FALSE),0)</f>
        <v>0</v>
      </c>
      <c r="V30" s="223">
        <f t="shared" si="6"/>
        <v>0</v>
      </c>
      <c r="W30" s="223">
        <f>IFERROR(VLOOKUP('C-sidumine'!I24,'C-taust'!$B$2:$F$65, 3, FALSE),0)</f>
        <v>0</v>
      </c>
      <c r="X30" s="279">
        <f t="shared" si="7"/>
        <v>0</v>
      </c>
      <c r="Y30" s="282">
        <f>IFERROR(VLOOKUP('C-sidumine'!P24,'C-taust'!$B$2:$F$65,4,FALSE),0)*'C-sidumine'!R24*IFERROR(VLOOKUP('C-sidumine'!P24,'C-taust'!$B$2:$F$65,5,FALSE),0)*'C-sidumine'!Q24</f>
        <v>0</v>
      </c>
      <c r="Z30" s="282">
        <f>IFERROR(VLOOKUP('C-sidumine'!S24,'C-taust'!$B$2:$F$65,4,FALSE),0)*'C-sidumine'!U24*IFERROR(VLOOKUP('C-sidumine'!S24,'C-taust'!$B$2:$F$65,5,FALSE),0)*'C-sidumine'!T24</f>
        <v>0</v>
      </c>
      <c r="AA30" s="282">
        <f>IFERROR(VLOOKUP('C-sidumine'!V24,'C-taust'!$B$2:$F$65,4,FALSE),0)*'C-sidumine'!X24*IFERROR(VLOOKUP('C-sidumine'!V24,'C-taust'!$B$2:$F$65,5,FALSE),0)*'C-sidumine'!W24</f>
        <v>0</v>
      </c>
      <c r="AB30" s="278">
        <f>(L30*'C-sidumine'!G24*0.45)+(Q30*0.45)+(V30*0.45)</f>
        <v>0</v>
      </c>
      <c r="AC30" s="278">
        <f t="shared" si="8"/>
        <v>0</v>
      </c>
      <c r="AD30" s="278">
        <f t="shared" si="9"/>
        <v>0</v>
      </c>
    </row>
    <row r="31" spans="2:30" ht="18">
      <c r="B31" s="260" t="s">
        <v>1150</v>
      </c>
      <c r="D31" s="63"/>
      <c r="F31" s="255"/>
      <c r="H31" s="222">
        <f>'C-sidumine'!D25</f>
        <v>0</v>
      </c>
      <c r="I31" s="278">
        <f>'C-sidumine'!F25*J31</f>
        <v>0</v>
      </c>
      <c r="J31" s="223">
        <f>IFERROR(VLOOKUP('C-sidumine'!D25,'C-taust'!$B$2:$F$65,4,FALSE),0)</f>
        <v>0</v>
      </c>
      <c r="K31" s="278">
        <f>IFERROR(VLOOKUP('C-sidumine'!D25,'C-taust'!$B$2:$F$65,2,FALSE),0)</f>
        <v>0</v>
      </c>
      <c r="L31" s="278">
        <f t="shared" si="3"/>
        <v>0</v>
      </c>
      <c r="M31" s="223">
        <f>IFERROR(VLOOKUP('C-sidumine'!D25,'C-taust'!$B$2:$F$65,3,FALSE),0)</f>
        <v>0</v>
      </c>
      <c r="N31" s="279">
        <f t="shared" si="4"/>
        <v>0</v>
      </c>
      <c r="O31" s="223">
        <f>'C-sidumine'!N25</f>
        <v>0</v>
      </c>
      <c r="P31" s="280">
        <f>IFERROR(VLOOKUP('C-sidumine'!L25,$B$2:$F$65,4,FALSE),0)</f>
        <v>0</v>
      </c>
      <c r="Q31" s="223">
        <f>O31*'C-sidumine'!M25</f>
        <v>0</v>
      </c>
      <c r="R31" s="223">
        <f>IFERROR(VLOOKUP('C-sidumine'!L25,'C-taust'!$B$2:$F$65,3, FALSE),0)</f>
        <v>0</v>
      </c>
      <c r="S31" s="281">
        <f t="shared" si="5"/>
        <v>0</v>
      </c>
      <c r="T31" s="223">
        <f>'C-sidumine'!J25</f>
        <v>0</v>
      </c>
      <c r="U31" s="287">
        <f>IFERROR(VLOOKUP('C-sidumine'!I25,'C-taust'!$B$2:$F$65, 4, FALSE),0)</f>
        <v>0</v>
      </c>
      <c r="V31" s="223">
        <f t="shared" si="6"/>
        <v>0</v>
      </c>
      <c r="W31" s="223">
        <f>IFERROR(VLOOKUP('C-sidumine'!I25,'C-taust'!$B$2:$F$65, 3, FALSE),0)</f>
        <v>0</v>
      </c>
      <c r="X31" s="279">
        <f t="shared" si="7"/>
        <v>0</v>
      </c>
      <c r="Y31" s="282">
        <f>IFERROR(VLOOKUP('C-sidumine'!P25,'C-taust'!$B$2:$F$65,4,FALSE),0)*'C-sidumine'!R25*IFERROR(VLOOKUP('C-sidumine'!P25,'C-taust'!$B$2:$F$65,5,FALSE),0)*'C-sidumine'!Q25</f>
        <v>0</v>
      </c>
      <c r="Z31" s="282">
        <f>IFERROR(VLOOKUP('C-sidumine'!S25,'C-taust'!$B$2:$F$65,4,FALSE),0)*'C-sidumine'!U25*IFERROR(VLOOKUP('C-sidumine'!S25,'C-taust'!$B$2:$F$65,5,FALSE),0)*'C-sidumine'!T25</f>
        <v>0</v>
      </c>
      <c r="AA31" s="282">
        <f>IFERROR(VLOOKUP('C-sidumine'!V25,'C-taust'!$B$2:$F$65,4,FALSE),0)*'C-sidumine'!X25*IFERROR(VLOOKUP('C-sidumine'!V25,'C-taust'!$B$2:$F$65,5,FALSE),0)*'C-sidumine'!W25</f>
        <v>0</v>
      </c>
      <c r="AB31" s="278">
        <f>(L31*'C-sidumine'!G25*0.45)+(Q31*0.45)+(V31*0.45)</f>
        <v>0</v>
      </c>
      <c r="AC31" s="278">
        <f t="shared" si="8"/>
        <v>0</v>
      </c>
      <c r="AD31" s="278">
        <f t="shared" si="9"/>
        <v>0</v>
      </c>
    </row>
    <row r="32" spans="2:30" ht="18">
      <c r="B32" t="s">
        <v>1151</v>
      </c>
      <c r="D32" s="63"/>
      <c r="F32" s="255"/>
      <c r="H32" s="222">
        <f>'C-sidumine'!D26</f>
        <v>0</v>
      </c>
      <c r="I32" s="278">
        <f>'C-sidumine'!F26*J32</f>
        <v>0</v>
      </c>
      <c r="J32" s="223">
        <f>IFERROR(VLOOKUP('C-sidumine'!D26,'C-taust'!$B$2:$F$65,4,FALSE),0)</f>
        <v>0</v>
      </c>
      <c r="K32" s="278">
        <f>IFERROR(VLOOKUP('C-sidumine'!D26,'C-taust'!$B$2:$F$65,2,FALSE),0)</f>
        <v>0</v>
      </c>
      <c r="L32" s="278">
        <f t="shared" si="3"/>
        <v>0</v>
      </c>
      <c r="M32" s="223">
        <f>IFERROR(VLOOKUP('C-sidumine'!D26,'C-taust'!$B$2:$F$65,3,FALSE),0)</f>
        <v>0</v>
      </c>
      <c r="N32" s="279">
        <f t="shared" si="4"/>
        <v>0</v>
      </c>
      <c r="O32" s="223">
        <f>'C-sidumine'!N26</f>
        <v>0</v>
      </c>
      <c r="P32" s="280">
        <f>IFERROR(VLOOKUP('C-sidumine'!L26,$B$2:$F$65,4,FALSE),0)</f>
        <v>0</v>
      </c>
      <c r="Q32" s="223">
        <f>O32*'C-sidumine'!M26</f>
        <v>0</v>
      </c>
      <c r="R32" s="223">
        <f>IFERROR(VLOOKUP('C-sidumine'!L26,'C-taust'!$B$2:$F$65,3, FALSE),0)</f>
        <v>0</v>
      </c>
      <c r="S32" s="281">
        <f t="shared" si="5"/>
        <v>0</v>
      </c>
      <c r="T32" s="223">
        <f>'C-sidumine'!J26</f>
        <v>0</v>
      </c>
      <c r="U32" s="287">
        <f>IFERROR(VLOOKUP('C-sidumine'!I26,'C-taust'!$B$2:$F$65, 4, FALSE),0)</f>
        <v>0</v>
      </c>
      <c r="V32" s="223">
        <f t="shared" si="6"/>
        <v>0</v>
      </c>
      <c r="W32" s="223">
        <f>IFERROR(VLOOKUP('C-sidumine'!I26,'C-taust'!$B$2:$F$65, 3, FALSE),0)</f>
        <v>0</v>
      </c>
      <c r="X32" s="279">
        <f t="shared" si="7"/>
        <v>0</v>
      </c>
      <c r="Y32" s="282">
        <f>IFERROR(VLOOKUP('C-sidumine'!P26,'C-taust'!$B$2:$F$65,4,FALSE),0)*'C-sidumine'!R26*IFERROR(VLOOKUP('C-sidumine'!P26,'C-taust'!$B$2:$F$65,5,FALSE),0)*'C-sidumine'!Q26</f>
        <v>0</v>
      </c>
      <c r="Z32" s="282">
        <f>IFERROR(VLOOKUP('C-sidumine'!S26,'C-taust'!$B$2:$F$65,4,FALSE),0)*'C-sidumine'!U26*IFERROR(VLOOKUP('C-sidumine'!S26,'C-taust'!$B$2:$F$65,5,FALSE),0)*'C-sidumine'!T26</f>
        <v>0</v>
      </c>
      <c r="AA32" s="282">
        <f>IFERROR(VLOOKUP('C-sidumine'!V26,'C-taust'!$B$2:$F$65,4,FALSE),0)*'C-sidumine'!X26*IFERROR(VLOOKUP('C-sidumine'!V26,'C-taust'!$B$2:$F$65,5,FALSE),0)*'C-sidumine'!W26</f>
        <v>0</v>
      </c>
      <c r="AB32" s="278">
        <f>(L32*'C-sidumine'!G26*0.45)+(Q32*0.45)+(V32*0.45)</f>
        <v>0</v>
      </c>
      <c r="AC32" s="278">
        <f t="shared" si="8"/>
        <v>0</v>
      </c>
      <c r="AD32" s="278">
        <f t="shared" si="9"/>
        <v>0</v>
      </c>
    </row>
    <row r="33" spans="1:30" ht="18">
      <c r="B33" s="261" t="s">
        <v>657</v>
      </c>
      <c r="C33">
        <v>0.25</v>
      </c>
      <c r="D33">
        <v>0.54</v>
      </c>
      <c r="E33">
        <v>0.83499999999999996</v>
      </c>
      <c r="F33" s="258"/>
      <c r="H33" s="222">
        <f>'C-sidumine'!D27</f>
        <v>0</v>
      </c>
      <c r="I33" s="278">
        <f>'C-sidumine'!F27*J33</f>
        <v>0</v>
      </c>
      <c r="J33" s="223">
        <f>IFERROR(VLOOKUP('C-sidumine'!D27,'C-taust'!$B$2:$F$65,4,FALSE),0)</f>
        <v>0</v>
      </c>
      <c r="K33" s="278">
        <f>IFERROR(VLOOKUP('C-sidumine'!D27,'C-taust'!$B$2:$F$65,2,FALSE),0)</f>
        <v>0</v>
      </c>
      <c r="L33" s="278">
        <f t="shared" si="3"/>
        <v>0</v>
      </c>
      <c r="M33" s="223">
        <f>IFERROR(VLOOKUP('C-sidumine'!D27,'C-taust'!$B$2:$F$65,3,FALSE),0)</f>
        <v>0</v>
      </c>
      <c r="N33" s="279">
        <f t="shared" si="4"/>
        <v>0</v>
      </c>
      <c r="O33" s="223">
        <f>'C-sidumine'!N27</f>
        <v>0</v>
      </c>
      <c r="P33" s="280">
        <f>IFERROR(VLOOKUP('C-sidumine'!L27,$B$2:$F$65,4,FALSE),0)</f>
        <v>0</v>
      </c>
      <c r="Q33" s="223">
        <f>O33*'C-sidumine'!M27</f>
        <v>0</v>
      </c>
      <c r="R33" s="223">
        <f>IFERROR(VLOOKUP('C-sidumine'!L27,'C-taust'!$B$2:$F$65,3, FALSE),0)</f>
        <v>0</v>
      </c>
      <c r="S33" s="281">
        <f t="shared" si="5"/>
        <v>0</v>
      </c>
      <c r="T33" s="223">
        <f>'C-sidumine'!J27</f>
        <v>0</v>
      </c>
      <c r="U33" s="287">
        <f>IFERROR(VLOOKUP('C-sidumine'!I27,'C-taust'!$B$2:$F$65, 4, FALSE),0)</f>
        <v>0</v>
      </c>
      <c r="V33" s="223">
        <f t="shared" si="6"/>
        <v>0</v>
      </c>
      <c r="W33" s="223">
        <f>IFERROR(VLOOKUP('C-sidumine'!I27,'C-taust'!$B$2:$F$65, 3, FALSE),0)</f>
        <v>0</v>
      </c>
      <c r="X33" s="279">
        <f t="shared" si="7"/>
        <v>0</v>
      </c>
      <c r="Y33" s="282">
        <f>IFERROR(VLOOKUP('C-sidumine'!P27,'C-taust'!$B$2:$F$65,4,FALSE),0)*'C-sidumine'!R27*IFERROR(VLOOKUP('C-sidumine'!P27,'C-taust'!$B$2:$F$65,5,FALSE),0)*'C-sidumine'!Q27</f>
        <v>0</v>
      </c>
      <c r="Z33" s="282">
        <f>IFERROR(VLOOKUP('C-sidumine'!S27,'C-taust'!$B$2:$F$65,4,FALSE),0)*'C-sidumine'!U27*IFERROR(VLOOKUP('C-sidumine'!S27,'C-taust'!$B$2:$F$65,5,FALSE),0)*'C-sidumine'!T27</f>
        <v>0</v>
      </c>
      <c r="AA33" s="282">
        <f>IFERROR(VLOOKUP('C-sidumine'!V27,'C-taust'!$B$2:$F$65,4,FALSE),0)*'C-sidumine'!X27*IFERROR(VLOOKUP('C-sidumine'!V27,'C-taust'!$B$2:$F$65,5,FALSE),0)*'C-sidumine'!W27</f>
        <v>0</v>
      </c>
      <c r="AB33" s="278">
        <f>(L33*'C-sidumine'!G27*0.45)+(Q33*0.45)+(V33*0.45)</f>
        <v>0</v>
      </c>
      <c r="AC33" s="278">
        <f t="shared" si="8"/>
        <v>0</v>
      </c>
      <c r="AD33" s="278">
        <f t="shared" si="9"/>
        <v>0</v>
      </c>
    </row>
    <row r="34" spans="1:30" ht="18">
      <c r="B34" s="261" t="s">
        <v>658</v>
      </c>
      <c r="C34">
        <v>1</v>
      </c>
      <c r="D34">
        <v>0.6</v>
      </c>
      <c r="E34">
        <v>0.85</v>
      </c>
      <c r="F34" s="258"/>
      <c r="H34" s="222">
        <f>'C-sidumine'!D28</f>
        <v>0</v>
      </c>
      <c r="I34" s="278">
        <f>'C-sidumine'!F28*J34</f>
        <v>0</v>
      </c>
      <c r="J34" s="223">
        <f>IFERROR(VLOOKUP('C-sidumine'!D28,'C-taust'!$B$2:$F$65,4,FALSE),0)</f>
        <v>0</v>
      </c>
      <c r="K34" s="278">
        <f>IFERROR(VLOOKUP('C-sidumine'!D28,'C-taust'!$B$2:$F$65,2,FALSE),0)</f>
        <v>0</v>
      </c>
      <c r="L34" s="278">
        <f t="shared" si="3"/>
        <v>0</v>
      </c>
      <c r="M34" s="223">
        <f>IFERROR(VLOOKUP('C-sidumine'!D28,'C-taust'!$B$2:$F$65,3,FALSE),0)</f>
        <v>0</v>
      </c>
      <c r="N34" s="279">
        <f t="shared" si="4"/>
        <v>0</v>
      </c>
      <c r="O34" s="223">
        <f>'C-sidumine'!N28</f>
        <v>0</v>
      </c>
      <c r="P34" s="280">
        <f>IFERROR(VLOOKUP('C-sidumine'!L28,$B$2:$F$65,4,FALSE),0)</f>
        <v>0</v>
      </c>
      <c r="Q34" s="223">
        <f>O34*'C-sidumine'!M28</f>
        <v>0</v>
      </c>
      <c r="R34" s="223">
        <f>IFERROR(VLOOKUP('C-sidumine'!L28,'C-taust'!$B$2:$F$65,3, FALSE),0)</f>
        <v>0</v>
      </c>
      <c r="S34" s="281">
        <f t="shared" si="5"/>
        <v>0</v>
      </c>
      <c r="T34" s="223">
        <f>'C-sidumine'!J28</f>
        <v>0</v>
      </c>
      <c r="U34" s="287">
        <f>IFERROR(VLOOKUP('C-sidumine'!I28,'C-taust'!$B$2:$F$65, 4, FALSE),0)</f>
        <v>0</v>
      </c>
      <c r="V34" s="223">
        <f t="shared" si="6"/>
        <v>0</v>
      </c>
      <c r="W34" s="223">
        <f>IFERROR(VLOOKUP('C-sidumine'!I28,'C-taust'!$B$2:$F$65, 3, FALSE),0)</f>
        <v>0</v>
      </c>
      <c r="X34" s="279">
        <f t="shared" si="7"/>
        <v>0</v>
      </c>
      <c r="Y34" s="282">
        <f>IFERROR(VLOOKUP('C-sidumine'!P28,'C-taust'!$B$2:$F$65,4,FALSE),0)*'C-sidumine'!R28*IFERROR(VLOOKUP('C-sidumine'!P28,'C-taust'!$B$2:$F$65,5,FALSE),0)*'C-sidumine'!Q28</f>
        <v>0</v>
      </c>
      <c r="Z34" s="282">
        <f>IFERROR(VLOOKUP('C-sidumine'!S28,'C-taust'!$B$2:$F$65,4,FALSE),0)*'C-sidumine'!U28*IFERROR(VLOOKUP('C-sidumine'!S28,'C-taust'!$B$2:$F$65,5,FALSE),0)*'C-sidumine'!T28</f>
        <v>0</v>
      </c>
      <c r="AA34" s="282">
        <f>IFERROR(VLOOKUP('C-sidumine'!V28,'C-taust'!$B$2:$F$65,4,FALSE),0)*'C-sidumine'!X28*IFERROR(VLOOKUP('C-sidumine'!V28,'C-taust'!$B$2:$F$65,5,FALSE),0)*'C-sidumine'!W28</f>
        <v>0</v>
      </c>
      <c r="AB34" s="278">
        <f>(L34*'C-sidumine'!G28*0.45)+(Q34*0.45)+(V34*0.45)</f>
        <v>0</v>
      </c>
      <c r="AC34" s="278">
        <f t="shared" si="8"/>
        <v>0</v>
      </c>
      <c r="AD34" s="278">
        <f t="shared" si="9"/>
        <v>0</v>
      </c>
    </row>
    <row r="35" spans="1:30" ht="18">
      <c r="B35" s="261" t="s">
        <v>659</v>
      </c>
      <c r="C35">
        <v>1</v>
      </c>
      <c r="D35">
        <v>0.6</v>
      </c>
      <c r="E35">
        <v>0.3</v>
      </c>
      <c r="F35" s="258"/>
      <c r="H35" s="222">
        <f>'C-sidumine'!D29</f>
        <v>0</v>
      </c>
      <c r="I35" s="278">
        <f>'C-sidumine'!F29*J35</f>
        <v>0</v>
      </c>
      <c r="J35" s="223">
        <f>IFERROR(VLOOKUP('C-sidumine'!D29,'C-taust'!$B$2:$F$65,4,FALSE),0)</f>
        <v>0</v>
      </c>
      <c r="K35" s="278">
        <f>IFERROR(VLOOKUP('C-sidumine'!D29,'C-taust'!$B$2:$F$65,2,FALSE),0)</f>
        <v>0</v>
      </c>
      <c r="L35" s="278">
        <f t="shared" si="3"/>
        <v>0</v>
      </c>
      <c r="M35" s="223">
        <f>IFERROR(VLOOKUP('C-sidumine'!D29,'C-taust'!$B$2:$F$65,3,FALSE),0)</f>
        <v>0</v>
      </c>
      <c r="N35" s="279">
        <f t="shared" si="4"/>
        <v>0</v>
      </c>
      <c r="O35" s="223">
        <f>'C-sidumine'!N29</f>
        <v>0</v>
      </c>
      <c r="P35" s="280">
        <f>IFERROR(VLOOKUP('C-sidumine'!L29,$B$2:$F$65,4,FALSE),0)</f>
        <v>0</v>
      </c>
      <c r="Q35" s="223">
        <f>O35*'C-sidumine'!M29</f>
        <v>0</v>
      </c>
      <c r="R35" s="223">
        <f>IFERROR(VLOOKUP('C-sidumine'!L29,'C-taust'!$B$2:$F$65,3, FALSE),0)</f>
        <v>0</v>
      </c>
      <c r="S35" s="281">
        <f t="shared" si="5"/>
        <v>0</v>
      </c>
      <c r="T35" s="223">
        <f>'C-sidumine'!J29</f>
        <v>0</v>
      </c>
      <c r="U35" s="287">
        <f>IFERROR(VLOOKUP('C-sidumine'!I29,'C-taust'!$B$2:$F$65, 4, FALSE),0)</f>
        <v>0</v>
      </c>
      <c r="V35" s="223">
        <f t="shared" si="6"/>
        <v>0</v>
      </c>
      <c r="W35" s="223">
        <f>IFERROR(VLOOKUP('C-sidumine'!I29,'C-taust'!$B$2:$F$65, 3, FALSE),0)</f>
        <v>0</v>
      </c>
      <c r="X35" s="279">
        <f t="shared" si="7"/>
        <v>0</v>
      </c>
      <c r="Y35" s="282">
        <f>IFERROR(VLOOKUP('C-sidumine'!P29,'C-taust'!$B$2:$F$65,4,FALSE),0)*'C-sidumine'!R29*IFERROR(VLOOKUP('C-sidumine'!P29,'C-taust'!$B$2:$F$65,5,FALSE),0)*'C-sidumine'!Q29</f>
        <v>0</v>
      </c>
      <c r="Z35" s="282">
        <f>IFERROR(VLOOKUP('C-sidumine'!S29,'C-taust'!$B$2:$F$65,4,FALSE),0)*'C-sidumine'!U29*IFERROR(VLOOKUP('C-sidumine'!S29,'C-taust'!$B$2:$F$65,5,FALSE),0)*'C-sidumine'!T29</f>
        <v>0</v>
      </c>
      <c r="AA35" s="282">
        <f>IFERROR(VLOOKUP('C-sidumine'!V29,'C-taust'!$B$2:$F$65,4,FALSE),0)*'C-sidumine'!X29*IFERROR(VLOOKUP('C-sidumine'!V29,'C-taust'!$B$2:$F$65,5,FALSE),0)*'C-sidumine'!W29</f>
        <v>0</v>
      </c>
      <c r="AB35" s="278">
        <f>(L35*'C-sidumine'!G29*0.45)+(Q35*0.45)+(V35*0.45)</f>
        <v>0</v>
      </c>
      <c r="AC35" s="278">
        <f t="shared" si="8"/>
        <v>0</v>
      </c>
      <c r="AD35" s="278">
        <f t="shared" si="9"/>
        <v>0</v>
      </c>
    </row>
    <row r="36" spans="1:30" ht="18">
      <c r="B36" s="261" t="s">
        <v>661</v>
      </c>
      <c r="C36">
        <v>1</v>
      </c>
      <c r="D36">
        <v>2</v>
      </c>
      <c r="E36">
        <v>0.86</v>
      </c>
      <c r="F36" s="258"/>
      <c r="H36" s="222">
        <f>'C-sidumine'!D30</f>
        <v>0</v>
      </c>
      <c r="I36" s="278">
        <f>'C-sidumine'!F30*J36</f>
        <v>0</v>
      </c>
      <c r="J36" s="223">
        <f>IFERROR(VLOOKUP('C-sidumine'!D30,'C-taust'!$B$2:$F$65,4,FALSE),0)</f>
        <v>0</v>
      </c>
      <c r="K36" s="278">
        <f>IFERROR(VLOOKUP('C-sidumine'!D30,'C-taust'!$B$2:$F$65,2,FALSE),0)</f>
        <v>0</v>
      </c>
      <c r="L36" s="278">
        <f t="shared" si="3"/>
        <v>0</v>
      </c>
      <c r="M36" s="223">
        <f>IFERROR(VLOOKUP('C-sidumine'!D30,'C-taust'!$B$2:$F$65,3,FALSE),0)</f>
        <v>0</v>
      </c>
      <c r="N36" s="279">
        <f t="shared" si="4"/>
        <v>0</v>
      </c>
      <c r="O36" s="223">
        <f>'C-sidumine'!N30</f>
        <v>0</v>
      </c>
      <c r="P36" s="280">
        <f>IFERROR(VLOOKUP('C-sidumine'!L30,$B$2:$F$65,4,FALSE),0)</f>
        <v>0</v>
      </c>
      <c r="Q36" s="223">
        <f>O36*'C-sidumine'!M30</f>
        <v>0</v>
      </c>
      <c r="R36" s="223">
        <f>IFERROR(VLOOKUP('C-sidumine'!L30,'C-taust'!$B$2:$F$65,3, FALSE),0)</f>
        <v>0</v>
      </c>
      <c r="S36" s="281">
        <f t="shared" si="5"/>
        <v>0</v>
      </c>
      <c r="T36" s="223">
        <f>'C-sidumine'!J30</f>
        <v>0</v>
      </c>
      <c r="U36" s="287">
        <f>IFERROR(VLOOKUP('C-sidumine'!I30,'C-taust'!$B$2:$F$65, 4, FALSE),0)</f>
        <v>0</v>
      </c>
      <c r="V36" s="223">
        <f t="shared" si="6"/>
        <v>0</v>
      </c>
      <c r="W36" s="223">
        <f>IFERROR(VLOOKUP('C-sidumine'!I30,'C-taust'!$B$2:$F$65, 3, FALSE),0)</f>
        <v>0</v>
      </c>
      <c r="X36" s="279">
        <f t="shared" si="7"/>
        <v>0</v>
      </c>
      <c r="Y36" s="282">
        <f>IFERROR(VLOOKUP('C-sidumine'!P30,'C-taust'!$B$2:$F$65,4,FALSE),0)*'C-sidumine'!R30*IFERROR(VLOOKUP('C-sidumine'!P30,'C-taust'!$B$2:$F$65,5,FALSE),0)*'C-sidumine'!Q30</f>
        <v>0</v>
      </c>
      <c r="Z36" s="282">
        <f>IFERROR(VLOOKUP('C-sidumine'!S30,'C-taust'!$B$2:$F$65,4,FALSE),0)*'C-sidumine'!U30*IFERROR(VLOOKUP('C-sidumine'!S30,'C-taust'!$B$2:$F$65,5,FALSE),0)*'C-sidumine'!T30</f>
        <v>0</v>
      </c>
      <c r="AA36" s="282">
        <f>IFERROR(VLOOKUP('C-sidumine'!V30,'C-taust'!$B$2:$F$65,4,FALSE),0)*'C-sidumine'!X30*IFERROR(VLOOKUP('C-sidumine'!V30,'C-taust'!$B$2:$F$65,5,FALSE),0)*'C-sidumine'!W30</f>
        <v>0</v>
      </c>
      <c r="AB36" s="278">
        <f>(L36*'C-sidumine'!G30*0.45)+(Q36*0.45)+(V36*0.45)</f>
        <v>0</v>
      </c>
      <c r="AC36" s="278">
        <f t="shared" si="8"/>
        <v>0</v>
      </c>
      <c r="AD36" s="278">
        <f t="shared" si="9"/>
        <v>0</v>
      </c>
    </row>
    <row r="37" spans="1:30" ht="18">
      <c r="B37" s="261" t="s">
        <v>665</v>
      </c>
      <c r="C37">
        <v>1</v>
      </c>
      <c r="D37">
        <v>2</v>
      </c>
      <c r="E37">
        <v>0.3</v>
      </c>
      <c r="F37" s="258"/>
      <c r="H37" s="222">
        <f>'C-sidumine'!D31</f>
        <v>0</v>
      </c>
      <c r="I37" s="278">
        <f>'C-sidumine'!F31*J37</f>
        <v>0</v>
      </c>
      <c r="J37" s="223">
        <f>IFERROR(VLOOKUP('C-sidumine'!D31,'C-taust'!$B$2:$F$65,4,FALSE),0)</f>
        <v>0</v>
      </c>
      <c r="K37" s="278">
        <f>IFERROR(VLOOKUP('C-sidumine'!D31,'C-taust'!$B$2:$F$65,2,FALSE),0)</f>
        <v>0</v>
      </c>
      <c r="L37" s="278">
        <f t="shared" si="3"/>
        <v>0</v>
      </c>
      <c r="M37" s="223">
        <f>IFERROR(VLOOKUP('C-sidumine'!D31,'C-taust'!$B$2:$F$65,3,FALSE),0)</f>
        <v>0</v>
      </c>
      <c r="N37" s="279">
        <f t="shared" si="4"/>
        <v>0</v>
      </c>
      <c r="O37" s="223">
        <f>'C-sidumine'!N31</f>
        <v>0</v>
      </c>
      <c r="P37" s="280">
        <f>IFERROR(VLOOKUP('C-sidumine'!L31,$B$2:$F$65,4,FALSE),0)</f>
        <v>0</v>
      </c>
      <c r="Q37" s="223">
        <f>O37*'C-sidumine'!M31</f>
        <v>0</v>
      </c>
      <c r="R37" s="223">
        <f>IFERROR(VLOOKUP('C-sidumine'!L31,'C-taust'!$B$2:$F$65,3, FALSE),0)</f>
        <v>0</v>
      </c>
      <c r="S37" s="281">
        <f t="shared" si="5"/>
        <v>0</v>
      </c>
      <c r="T37" s="223">
        <f>'C-sidumine'!J31</f>
        <v>0</v>
      </c>
      <c r="U37" s="287">
        <f>IFERROR(VLOOKUP('C-sidumine'!I31,'C-taust'!$B$2:$F$65, 4, FALSE),0)</f>
        <v>0</v>
      </c>
      <c r="V37" s="223">
        <f t="shared" si="6"/>
        <v>0</v>
      </c>
      <c r="W37" s="223">
        <f>IFERROR(VLOOKUP('C-sidumine'!I31,'C-taust'!$B$2:$F$65, 3, FALSE),0)</f>
        <v>0</v>
      </c>
      <c r="X37" s="279">
        <f t="shared" si="7"/>
        <v>0</v>
      </c>
      <c r="Y37" s="282">
        <f>IFERROR(VLOOKUP('C-sidumine'!P31,'C-taust'!$B$2:$F$65,4,FALSE),0)*'C-sidumine'!R31*IFERROR(VLOOKUP('C-sidumine'!P31,'C-taust'!$B$2:$F$65,5,FALSE),0)*'C-sidumine'!Q31</f>
        <v>0</v>
      </c>
      <c r="Z37" s="282">
        <f>IFERROR(VLOOKUP('C-sidumine'!S31,'C-taust'!$B$2:$F$65,4,FALSE),0)*'C-sidumine'!U31*IFERROR(VLOOKUP('C-sidumine'!S31,'C-taust'!$B$2:$F$65,5,FALSE),0)*'C-sidumine'!T31</f>
        <v>0</v>
      </c>
      <c r="AA37" s="282">
        <f>IFERROR(VLOOKUP('C-sidumine'!V31,'C-taust'!$B$2:$F$65,4,FALSE),0)*'C-sidumine'!X31*IFERROR(VLOOKUP('C-sidumine'!V31,'C-taust'!$B$2:$F$65,5,FALSE),0)*'C-sidumine'!W31</f>
        <v>0</v>
      </c>
      <c r="AB37" s="278">
        <f>(L37*'C-sidumine'!G31*0.45)+(Q37*0.45)+(V37*0.45)</f>
        <v>0</v>
      </c>
      <c r="AC37" s="278">
        <f t="shared" si="8"/>
        <v>0</v>
      </c>
      <c r="AD37" s="278">
        <f t="shared" si="9"/>
        <v>0</v>
      </c>
    </row>
    <row r="38" spans="1:30" ht="18">
      <c r="B38" s="261" t="s">
        <v>670</v>
      </c>
      <c r="C38">
        <v>1</v>
      </c>
      <c r="D38">
        <v>0.22</v>
      </c>
      <c r="E38">
        <v>0.86</v>
      </c>
      <c r="F38" s="258"/>
      <c r="H38" s="222">
        <f>'C-sidumine'!D32</f>
        <v>0</v>
      </c>
      <c r="I38" s="278">
        <f>'C-sidumine'!F32*J38</f>
        <v>0</v>
      </c>
      <c r="J38" s="223">
        <f>IFERROR(VLOOKUP('C-sidumine'!D32,'C-taust'!$B$2:$F$65,4,FALSE),0)</f>
        <v>0</v>
      </c>
      <c r="K38" s="278">
        <f>IFERROR(VLOOKUP('C-sidumine'!D32,'C-taust'!$B$2:$F$65,2,FALSE),0)</f>
        <v>0</v>
      </c>
      <c r="L38" s="278">
        <f t="shared" si="3"/>
        <v>0</v>
      </c>
      <c r="M38" s="223">
        <f>IFERROR(VLOOKUP('C-sidumine'!D32,'C-taust'!$B$2:$F$65,3,FALSE),0)</f>
        <v>0</v>
      </c>
      <c r="N38" s="279">
        <f t="shared" si="4"/>
        <v>0</v>
      </c>
      <c r="O38" s="223">
        <f>'C-sidumine'!N32</f>
        <v>0</v>
      </c>
      <c r="P38" s="280">
        <f>IFERROR(VLOOKUP('C-sidumine'!L32,$B$2:$F$65,4,FALSE),0)</f>
        <v>0</v>
      </c>
      <c r="Q38" s="223">
        <f>O38*'C-sidumine'!M32</f>
        <v>0</v>
      </c>
      <c r="R38" s="223">
        <f>IFERROR(VLOOKUP('C-sidumine'!L32,'C-taust'!$B$2:$F$65,3, FALSE),0)</f>
        <v>0</v>
      </c>
      <c r="S38" s="281">
        <f t="shared" si="5"/>
        <v>0</v>
      </c>
      <c r="T38" s="223">
        <f>'C-sidumine'!J32</f>
        <v>0</v>
      </c>
      <c r="U38" s="287">
        <f>IFERROR(VLOOKUP('C-sidumine'!I32,'C-taust'!$B$2:$F$65, 4, FALSE),0)</f>
        <v>0</v>
      </c>
      <c r="V38" s="223">
        <f t="shared" si="6"/>
        <v>0</v>
      </c>
      <c r="W38" s="223">
        <f>IFERROR(VLOOKUP('C-sidumine'!I32,'C-taust'!$B$2:$F$65, 3, FALSE),0)</f>
        <v>0</v>
      </c>
      <c r="X38" s="279">
        <f t="shared" si="7"/>
        <v>0</v>
      </c>
      <c r="Y38" s="282">
        <f>IFERROR(VLOOKUP('C-sidumine'!P32,'C-taust'!$B$2:$F$65,4,FALSE),0)*'C-sidumine'!R32*IFERROR(VLOOKUP('C-sidumine'!P32,'C-taust'!$B$2:$F$65,5,FALSE),0)*'C-sidumine'!Q32</f>
        <v>0</v>
      </c>
      <c r="Z38" s="282">
        <f>IFERROR(VLOOKUP('C-sidumine'!S32,'C-taust'!$B$2:$F$65,4,FALSE),0)*'C-sidumine'!U32*IFERROR(VLOOKUP('C-sidumine'!S32,'C-taust'!$B$2:$F$65,5,FALSE),0)*'C-sidumine'!T32</f>
        <v>0</v>
      </c>
      <c r="AA38" s="282">
        <f>IFERROR(VLOOKUP('C-sidumine'!V32,'C-taust'!$B$2:$F$65,4,FALSE),0)*'C-sidumine'!X32*IFERROR(VLOOKUP('C-sidumine'!V32,'C-taust'!$B$2:$F$65,5,FALSE),0)*'C-sidumine'!W32</f>
        <v>0</v>
      </c>
      <c r="AB38" s="278">
        <f>(L38*'C-sidumine'!G32*0.45)+(Q38*0.45)+(V38*0.45)</f>
        <v>0</v>
      </c>
      <c r="AC38" s="278">
        <f t="shared" si="8"/>
        <v>0</v>
      </c>
      <c r="AD38" s="278">
        <f t="shared" si="9"/>
        <v>0</v>
      </c>
    </row>
    <row r="39" spans="1:30" ht="18">
      <c r="A39" s="261" t="s">
        <v>657</v>
      </c>
      <c r="B39" s="261" t="s">
        <v>671</v>
      </c>
      <c r="C39">
        <v>1</v>
      </c>
      <c r="D39">
        <v>0.54</v>
      </c>
      <c r="E39">
        <v>0.85</v>
      </c>
      <c r="F39" s="258"/>
      <c r="H39" s="222">
        <f>'C-sidumine'!D33</f>
        <v>0</v>
      </c>
      <c r="I39" s="278">
        <f>'C-sidumine'!F33*J39</f>
        <v>0</v>
      </c>
      <c r="J39" s="223">
        <f>IFERROR(VLOOKUP('C-sidumine'!D33,'C-taust'!$B$2:$F$65,4,FALSE),0)</f>
        <v>0</v>
      </c>
      <c r="K39" s="278">
        <f>IFERROR(VLOOKUP('C-sidumine'!D33,'C-taust'!$B$2:$F$65,2,FALSE),0)</f>
        <v>0</v>
      </c>
      <c r="L39" s="278">
        <f t="shared" si="3"/>
        <v>0</v>
      </c>
      <c r="M39" s="223">
        <f>IFERROR(VLOOKUP('C-sidumine'!D33,'C-taust'!$B$2:$F$65,3,FALSE),0)</f>
        <v>0</v>
      </c>
      <c r="N39" s="279">
        <f t="shared" si="4"/>
        <v>0</v>
      </c>
      <c r="O39" s="223">
        <f>'C-sidumine'!N33</f>
        <v>0</v>
      </c>
      <c r="P39" s="280">
        <f>IFERROR(VLOOKUP('C-sidumine'!L33,$B$2:$F$65,4,FALSE),0)</f>
        <v>0</v>
      </c>
      <c r="Q39" s="223">
        <f>O39*'C-sidumine'!M33</f>
        <v>0</v>
      </c>
      <c r="R39" s="223">
        <f>IFERROR(VLOOKUP('C-sidumine'!L33,'C-taust'!$B$2:$F$65,3, FALSE),0)</f>
        <v>0</v>
      </c>
      <c r="S39" s="281">
        <f t="shared" si="5"/>
        <v>0</v>
      </c>
      <c r="T39" s="223">
        <f>'C-sidumine'!J33</f>
        <v>0</v>
      </c>
      <c r="U39" s="287">
        <f>IFERROR(VLOOKUP('C-sidumine'!I33,'C-taust'!$B$2:$F$65, 4, FALSE),0)</f>
        <v>0</v>
      </c>
      <c r="V39" s="223">
        <f t="shared" si="6"/>
        <v>0</v>
      </c>
      <c r="W39" s="223">
        <f>IFERROR(VLOOKUP('C-sidumine'!I33,'C-taust'!$B$2:$F$65, 3, FALSE),0)</f>
        <v>0</v>
      </c>
      <c r="X39" s="279">
        <f t="shared" si="7"/>
        <v>0</v>
      </c>
      <c r="Y39" s="282">
        <f>IFERROR(VLOOKUP('C-sidumine'!P33,'C-taust'!$B$2:$F$65,4,FALSE),0)*'C-sidumine'!R33*IFERROR(VLOOKUP('C-sidumine'!P33,'C-taust'!$B$2:$F$65,5,FALSE),0)*'C-sidumine'!Q33</f>
        <v>0</v>
      </c>
      <c r="Z39" s="282">
        <f>IFERROR(VLOOKUP('C-sidumine'!S33,'C-taust'!$B$2:$F$65,4,FALSE),0)*'C-sidumine'!U33*IFERROR(VLOOKUP('C-sidumine'!S33,'C-taust'!$B$2:$F$65,5,FALSE),0)*'C-sidumine'!T33</f>
        <v>0</v>
      </c>
      <c r="AA39" s="282">
        <f>IFERROR(VLOOKUP('C-sidumine'!V33,'C-taust'!$B$2:$F$65,4,FALSE),0)*'C-sidumine'!X33*IFERROR(VLOOKUP('C-sidumine'!V33,'C-taust'!$B$2:$F$65,5,FALSE),0)*'C-sidumine'!W33</f>
        <v>0</v>
      </c>
      <c r="AB39" s="278">
        <f>(L39*'C-sidumine'!G33*0.45)+(Q39*0.45)+(V39*0.45)</f>
        <v>0</v>
      </c>
      <c r="AC39" s="278">
        <f t="shared" si="8"/>
        <v>0</v>
      </c>
      <c r="AD39" s="278">
        <f t="shared" si="9"/>
        <v>0</v>
      </c>
    </row>
    <row r="40" spans="1:30" ht="18">
      <c r="A40" s="261" t="s">
        <v>659</v>
      </c>
      <c r="B40" s="261" t="s">
        <v>672</v>
      </c>
      <c r="C40">
        <v>1</v>
      </c>
      <c r="D40">
        <v>0.54</v>
      </c>
      <c r="E40">
        <v>0.3</v>
      </c>
      <c r="F40" s="258"/>
      <c r="H40" s="222"/>
      <c r="I40" s="223"/>
      <c r="J40" s="223"/>
      <c r="K40" s="223"/>
      <c r="L40" s="223"/>
      <c r="M40" s="223"/>
      <c r="N40" s="281"/>
      <c r="O40" s="223"/>
      <c r="P40" s="280"/>
      <c r="Q40" s="223"/>
      <c r="R40" s="223"/>
      <c r="S40" s="281"/>
      <c r="T40" s="223"/>
      <c r="U40" s="280"/>
      <c r="V40" s="223"/>
      <c r="W40" s="223"/>
      <c r="X40" s="281"/>
      <c r="Y40" s="283"/>
      <c r="Z40" s="223"/>
      <c r="AA40" s="282"/>
      <c r="AB40" s="278"/>
      <c r="AC40" s="278"/>
      <c r="AD40" s="278"/>
    </row>
    <row r="41" spans="1:30" ht="18">
      <c r="A41" s="261" t="s">
        <v>665</v>
      </c>
      <c r="B41" s="261" t="s">
        <v>675</v>
      </c>
      <c r="C41">
        <v>1</v>
      </c>
      <c r="D41">
        <v>0.54</v>
      </c>
      <c r="E41">
        <v>0.3</v>
      </c>
      <c r="F41" s="258"/>
      <c r="H41" s="222"/>
      <c r="I41" s="223"/>
      <c r="J41" s="223"/>
      <c r="K41" s="223"/>
      <c r="L41" s="223"/>
      <c r="M41" s="223"/>
      <c r="N41" s="281"/>
      <c r="O41" s="223"/>
      <c r="P41" s="280"/>
      <c r="Q41" s="223"/>
      <c r="R41" s="223"/>
      <c r="S41" s="281"/>
      <c r="T41" s="223"/>
      <c r="U41" s="280"/>
      <c r="V41" s="223"/>
      <c r="W41" s="223"/>
      <c r="X41" s="281"/>
      <c r="Y41" s="283"/>
      <c r="Z41" s="223"/>
      <c r="AA41" s="282"/>
      <c r="AB41" s="278"/>
      <c r="AC41" s="278"/>
      <c r="AD41" s="278"/>
    </row>
    <row r="42" spans="1:30" ht="126">
      <c r="A42" s="261" t="s">
        <v>670</v>
      </c>
      <c r="B42" s="261" t="s">
        <v>678</v>
      </c>
      <c r="C42">
        <v>1</v>
      </c>
      <c r="D42">
        <v>0.54</v>
      </c>
      <c r="E42">
        <v>0.3</v>
      </c>
      <c r="F42" s="258"/>
      <c r="H42" s="222"/>
      <c r="I42" s="225" t="s">
        <v>1152</v>
      </c>
      <c r="J42" s="1140" t="s">
        <v>1124</v>
      </c>
      <c r="K42" s="1141" t="s">
        <v>1125</v>
      </c>
      <c r="L42" s="268" t="s">
        <v>1153</v>
      </c>
      <c r="M42" s="268" t="s">
        <v>1127</v>
      </c>
      <c r="N42" s="269" t="s">
        <v>1128</v>
      </c>
      <c r="O42" s="223"/>
      <c r="P42" s="223"/>
      <c r="Q42" s="223"/>
      <c r="R42" s="223"/>
      <c r="S42" s="223"/>
      <c r="T42" s="223"/>
      <c r="U42" s="284"/>
      <c r="V42" s="223"/>
      <c r="W42" s="223"/>
      <c r="X42" s="281"/>
      <c r="Y42" s="275" t="s">
        <v>1139</v>
      </c>
      <c r="Z42" s="276" t="s">
        <v>1140</v>
      </c>
      <c r="AA42" s="276" t="s">
        <v>1141</v>
      </c>
      <c r="AB42" s="278"/>
      <c r="AC42" s="278"/>
      <c r="AD42" s="278"/>
    </row>
    <row r="43" spans="1:30" ht="18">
      <c r="A43" s="261" t="s">
        <v>282</v>
      </c>
      <c r="B43" s="261" t="s">
        <v>1154</v>
      </c>
      <c r="C43" s="262">
        <v>0.4</v>
      </c>
      <c r="D43">
        <v>0.54</v>
      </c>
      <c r="E43">
        <v>0.83499999999999996</v>
      </c>
      <c r="F43" s="258"/>
      <c r="H43" s="222" t="e">
        <f>'C-sidumine'!#REF!</f>
        <v>#REF!</v>
      </c>
      <c r="I43" s="278" t="e">
        <f>'C-sidumine'!#REF!</f>
        <v>#REF!</v>
      </c>
      <c r="J43" s="223">
        <f>IFERROR(VLOOKUP('C-sidumine'!#REF!,'C-taust'!$B$2:$F$65,4,FALSE),0)</f>
        <v>0</v>
      </c>
      <c r="K43" s="286">
        <f>IFERROR(VLOOKUP('C-sidumine'!#REF!,'C-taust'!$B$2:$F$65,2,FALSE),0)</f>
        <v>0</v>
      </c>
      <c r="L43" s="278" t="e">
        <f t="shared" ref="L43:L63" si="10">I43*J43</f>
        <v>#REF!</v>
      </c>
      <c r="M43" s="223">
        <f>IFERROR(VLOOKUP('C-sidumine'!#REF!,'C-taust'!$B$2:$F$65,3,FALSE),0)</f>
        <v>0</v>
      </c>
      <c r="N43" s="279" t="e">
        <f t="shared" si="4"/>
        <v>#REF!</v>
      </c>
      <c r="O43" s="223"/>
      <c r="P43" s="223"/>
      <c r="Q43" s="223"/>
      <c r="R43" s="223"/>
      <c r="S43" s="223"/>
      <c r="T43" s="223"/>
      <c r="U43" s="223"/>
      <c r="V43" s="223"/>
      <c r="W43" s="223"/>
      <c r="X43" s="281"/>
      <c r="Y43" s="282" t="e">
        <f>IFERROR(VLOOKUP('C-sidumine'!#REF!,'C-taust'!$B$2:$F$65,4,FALSE),0)*'C-sidumine'!#REF!*IFERROR(VLOOKUP('C-sidumine'!#REF!,'C-taust'!$B$2:$F$65,4,FALSE),0)*'C-sidumine'!#REF!</f>
        <v>#REF!</v>
      </c>
      <c r="Z43" s="282" t="e">
        <f>IFERROR(VLOOKUP('C-sidumine'!#REF!,'C-taust'!$B$2:$F$65,4,FALSE),0)*'C-sidumine'!#REF!*IFERROR(VLOOKUP('C-sidumine'!#REF!,'C-taust'!$B$2:$F$65,4,FALSE),0)*'C-sidumine'!#REF!</f>
        <v>#REF!</v>
      </c>
      <c r="AA43" s="282" t="e">
        <f>IFERROR(VLOOKUP('C-sidumine'!#REF!,'C-taust'!$B$2:$F$65,4,FALSE),0)*'C-sidumine'!#REF!*IFERROR(VLOOKUP('C-sidumine'!#REF!,'C-taust'!$B$2:$F$65,4,FALSE),0)*'C-sidumine'!#REF!</f>
        <v>#REF!</v>
      </c>
      <c r="AB43" s="278" t="e">
        <f>(L43*'C-sidumine'!#REF!*0.45)+(Q43*0.45)+(V43*0.45)</f>
        <v>#REF!</v>
      </c>
      <c r="AC43" s="278" t="e">
        <f t="shared" ref="AC43" si="11">(N43*0.45)+(S43*0.45)+(X43*0.45)</f>
        <v>#REF!</v>
      </c>
      <c r="AD43" s="278" t="e">
        <f t="shared" ref="AD43" si="12">SUM(Y43:AA43)</f>
        <v>#REF!</v>
      </c>
    </row>
    <row r="44" spans="1:30" ht="18">
      <c r="A44" s="261" t="s">
        <v>681</v>
      </c>
      <c r="B44" s="261" t="s">
        <v>282</v>
      </c>
      <c r="C44">
        <v>1.6</v>
      </c>
      <c r="D44">
        <v>0.19</v>
      </c>
      <c r="E44">
        <v>0.86</v>
      </c>
      <c r="F44" s="250"/>
      <c r="H44" s="222">
        <f>'C-sidumine'!D37</f>
        <v>0</v>
      </c>
      <c r="I44" s="278">
        <f>'C-sidumine'!F37</f>
        <v>0</v>
      </c>
      <c r="J44" s="223">
        <f>IFERROR(VLOOKUP('C-sidumine'!D37,'C-taust'!$B$2:$F$65,4,FALSE),0)</f>
        <v>0</v>
      </c>
      <c r="K44" s="286">
        <f>IFERROR(VLOOKUP('C-sidumine'!D37,'C-taust'!$B$2:$F$65,2,FALSE),0)</f>
        <v>0</v>
      </c>
      <c r="L44" s="278">
        <f t="shared" si="10"/>
        <v>0</v>
      </c>
      <c r="M44" s="223">
        <f>IFERROR(VLOOKUP('C-sidumine'!D37,'C-taust'!$B$2:$F$65,3,FALSE),0)</f>
        <v>0</v>
      </c>
      <c r="N44" s="279">
        <f t="shared" si="4"/>
        <v>0</v>
      </c>
      <c r="O44" s="223"/>
      <c r="P44" s="223"/>
      <c r="Q44" s="223"/>
      <c r="R44" s="223"/>
      <c r="S44" s="223"/>
      <c r="T44" s="223"/>
      <c r="U44" s="223"/>
      <c r="V44" s="223"/>
      <c r="W44" s="223"/>
      <c r="X44" s="281"/>
      <c r="Y44" s="282">
        <f>IFERROR(VLOOKUP('C-sidumine'!P37,'C-taust'!$B$2:$F$65,4,FALSE),0)*'C-sidumine'!R37*IFERROR(VLOOKUP('C-sidumine'!P37,'C-taust'!$B$2:$F$65,5,FALSE),0)*'C-sidumine'!Q37</f>
        <v>0</v>
      </c>
      <c r="Z44" s="282">
        <f>IFERROR(VLOOKUP('C-sidumine'!S37,'C-taust'!$B$2:$F$65,4,FALSE),0)*'C-sidumine'!U37*IFERROR(VLOOKUP('C-sidumine'!S37,'C-taust'!$B$2:$F$65,5,FALSE),0)*'C-sidumine'!T37</f>
        <v>0</v>
      </c>
      <c r="AA44" s="282">
        <f>IFERROR(VLOOKUP('C-sidumine'!V37,'C-taust'!$B$2:$F$65,4,FALSE),0)*'C-sidumine'!X37*IFERROR(VLOOKUP('C-sidumine'!V37,'C-taust'!$B$2:$F$65,5,FALSE),0)*'C-sidumine'!W37</f>
        <v>0</v>
      </c>
      <c r="AB44" s="278">
        <f>(L44*'C-sidumine'!G37*0.45)+(Q44*0.45)+(V44*0.45)</f>
        <v>0</v>
      </c>
      <c r="AC44" s="278">
        <f t="shared" ref="AC44:AC62" si="13">(N44*0.45)+(S44*0.45)+(X44*0.45)</f>
        <v>0</v>
      </c>
      <c r="AD44" s="278">
        <f t="shared" si="9"/>
        <v>0</v>
      </c>
    </row>
    <row r="45" spans="1:30" ht="18">
      <c r="A45" s="261" t="s">
        <v>685</v>
      </c>
      <c r="B45" s="261" t="s">
        <v>681</v>
      </c>
      <c r="C45">
        <v>1.6</v>
      </c>
      <c r="D45">
        <v>0.19</v>
      </c>
      <c r="E45">
        <v>0.06</v>
      </c>
      <c r="F45" s="252"/>
      <c r="H45" s="222">
        <f>'C-sidumine'!D38</f>
        <v>0</v>
      </c>
      <c r="I45" s="278">
        <f>'C-sidumine'!F38</f>
        <v>0</v>
      </c>
      <c r="J45" s="223">
        <f>IFERROR(VLOOKUP('C-sidumine'!D38,'C-taust'!$B$2:$F$65,4,FALSE),0)</f>
        <v>0</v>
      </c>
      <c r="K45" s="286">
        <f>IFERROR(VLOOKUP('C-sidumine'!D38,'C-taust'!$B$2:$F$65,2,FALSE),0)</f>
        <v>0</v>
      </c>
      <c r="L45" s="278">
        <f t="shared" si="10"/>
        <v>0</v>
      </c>
      <c r="M45" s="223">
        <f>IFERROR(VLOOKUP('C-sidumine'!D38,'C-taust'!$B$2:$F$65,3,FALSE),0)</f>
        <v>0</v>
      </c>
      <c r="N45" s="279">
        <f t="shared" si="4"/>
        <v>0</v>
      </c>
      <c r="O45" s="223"/>
      <c r="P45" s="223"/>
      <c r="Q45" s="223"/>
      <c r="R45" s="223"/>
      <c r="S45" s="223"/>
      <c r="T45" s="223"/>
      <c r="U45" s="223"/>
      <c r="V45" s="223"/>
      <c r="W45" s="223"/>
      <c r="X45" s="281"/>
      <c r="Y45" s="282">
        <f>IFERROR(VLOOKUP('C-sidumine'!P38,'C-taust'!$B$2:$F$65,4,FALSE),0)*'C-sidumine'!R38*IFERROR(VLOOKUP('C-sidumine'!P38,'C-taust'!$B$2:$F$65,5,FALSE),0)*'C-sidumine'!Q38</f>
        <v>0</v>
      </c>
      <c r="Z45" s="282">
        <f>IFERROR(VLOOKUP('C-sidumine'!S38,'C-taust'!$B$2:$F$65,4,FALSE),0)*'C-sidumine'!U38*IFERROR(VLOOKUP('C-sidumine'!S38,'C-taust'!$B$2:$F$65,5,FALSE),0)*'C-sidumine'!T38</f>
        <v>0</v>
      </c>
      <c r="AA45" s="282">
        <f>IFERROR(VLOOKUP('C-sidumine'!V38,'C-taust'!$B$2:$F$65,4,FALSE),0)*'C-sidumine'!X38*IFERROR(VLOOKUP('C-sidumine'!V38,'C-taust'!$B$2:$F$65,5,FALSE),0)*'C-sidumine'!W38</f>
        <v>0</v>
      </c>
      <c r="AB45" s="278">
        <f>(L45*'C-sidumine'!G38*0.45)+(Q45*0.45)+(V45*0.45)</f>
        <v>0</v>
      </c>
      <c r="AC45" s="278">
        <f t="shared" si="13"/>
        <v>0</v>
      </c>
      <c r="AD45" s="278">
        <f t="shared" si="9"/>
        <v>0</v>
      </c>
    </row>
    <row r="46" spans="1:30" ht="18">
      <c r="A46" s="261" t="s">
        <v>692</v>
      </c>
      <c r="B46" s="261" t="s">
        <v>682</v>
      </c>
      <c r="C46">
        <v>1</v>
      </c>
      <c r="D46">
        <v>1.7</v>
      </c>
      <c r="E46">
        <v>0.85</v>
      </c>
      <c r="F46" s="256"/>
      <c r="H46" s="222">
        <f>'C-sidumine'!D39</f>
        <v>0</v>
      </c>
      <c r="I46" s="278">
        <f>'C-sidumine'!F39</f>
        <v>0</v>
      </c>
      <c r="J46" s="223">
        <f>IFERROR(VLOOKUP('C-sidumine'!D39,'C-taust'!$B$2:$F$65,4,FALSE),0)</f>
        <v>0</v>
      </c>
      <c r="K46" s="286">
        <f>IFERROR(VLOOKUP('C-sidumine'!D39,'C-taust'!$B$2:$F$65,2,FALSE),0)</f>
        <v>0</v>
      </c>
      <c r="L46" s="278">
        <f t="shared" si="10"/>
        <v>0</v>
      </c>
      <c r="M46" s="223">
        <f>IFERROR(VLOOKUP('C-sidumine'!D39,'C-taust'!$B$2:$F$65,3,FALSE),0)</f>
        <v>0</v>
      </c>
      <c r="N46" s="279">
        <f t="shared" si="4"/>
        <v>0</v>
      </c>
      <c r="O46" s="223"/>
      <c r="P46" s="223"/>
      <c r="Q46" s="223"/>
      <c r="R46" s="223"/>
      <c r="S46" s="223"/>
      <c r="T46" s="223"/>
      <c r="U46" s="223"/>
      <c r="V46" s="223"/>
      <c r="W46" s="223"/>
      <c r="X46" s="281"/>
      <c r="Y46" s="282">
        <f>IFERROR(VLOOKUP('C-sidumine'!P39,'C-taust'!$B$2:$F$65,4,FALSE),0)*'C-sidumine'!R39*IFERROR(VLOOKUP('C-sidumine'!P39,'C-taust'!$B$2:$F$65,5,FALSE),0)*'C-sidumine'!Q39</f>
        <v>0</v>
      </c>
      <c r="Z46" s="282">
        <f>IFERROR(VLOOKUP('C-sidumine'!S39,'C-taust'!$B$2:$F$65,4,FALSE),0)*'C-sidumine'!U39*IFERROR(VLOOKUP('C-sidumine'!S39,'C-taust'!$B$2:$F$65,5,FALSE),0)*'C-sidumine'!T39</f>
        <v>0</v>
      </c>
      <c r="AA46" s="282">
        <f>IFERROR(VLOOKUP('C-sidumine'!V39,'C-taust'!$B$2:$F$65,4,FALSE),0)*'C-sidumine'!X39*IFERROR(VLOOKUP('C-sidumine'!V39,'C-taust'!$B$2:$F$65,5,FALSE),0)*'C-sidumine'!W39</f>
        <v>0</v>
      </c>
      <c r="AB46" s="278">
        <f>(L46*'C-sidumine'!G39*0.45)+(Q46*0.45)+(V46*0.45)</f>
        <v>0</v>
      </c>
      <c r="AC46" s="278">
        <f t="shared" si="13"/>
        <v>0</v>
      </c>
      <c r="AD46" s="278">
        <f t="shared" si="9"/>
        <v>0</v>
      </c>
    </row>
    <row r="47" spans="1:30" ht="18">
      <c r="A47" s="261" t="s">
        <v>696</v>
      </c>
      <c r="B47" s="261" t="s">
        <v>685</v>
      </c>
      <c r="C47">
        <v>1</v>
      </c>
      <c r="D47">
        <v>1.7</v>
      </c>
      <c r="E47">
        <v>0.35</v>
      </c>
      <c r="F47" s="250"/>
      <c r="H47" s="222">
        <f>'C-sidumine'!D40</f>
        <v>0</v>
      </c>
      <c r="I47" s="278">
        <f>'C-sidumine'!F40</f>
        <v>0</v>
      </c>
      <c r="J47" s="223">
        <f>IFERROR(VLOOKUP('C-sidumine'!D40,'C-taust'!$B$2:$F$65,4,FALSE),0)</f>
        <v>0</v>
      </c>
      <c r="K47" s="286">
        <f>IFERROR(VLOOKUP('C-sidumine'!D40,'C-taust'!$B$2:$F$65,2,FALSE),0)</f>
        <v>0</v>
      </c>
      <c r="L47" s="278">
        <f t="shared" si="10"/>
        <v>0</v>
      </c>
      <c r="M47" s="223">
        <f>IFERROR(VLOOKUP('C-sidumine'!D40,'C-taust'!$B$2:$F$65,3,FALSE),0)</f>
        <v>0</v>
      </c>
      <c r="N47" s="279">
        <f t="shared" si="4"/>
        <v>0</v>
      </c>
      <c r="O47" s="223"/>
      <c r="P47" s="223"/>
      <c r="Q47" s="223"/>
      <c r="R47" s="223"/>
      <c r="S47" s="223"/>
      <c r="T47" s="223"/>
      <c r="U47" s="223"/>
      <c r="V47" s="223"/>
      <c r="W47" s="223"/>
      <c r="X47" s="281"/>
      <c r="Y47" s="282">
        <f>IFERROR(VLOOKUP('C-sidumine'!P40,'C-taust'!$B$2:$F$65,4,FALSE),0)*'C-sidumine'!R40*IFERROR(VLOOKUP('C-sidumine'!P40,'C-taust'!$B$2:$F$65,5,FALSE),0)*'C-sidumine'!Q40</f>
        <v>0</v>
      </c>
      <c r="Z47" s="282">
        <f>IFERROR(VLOOKUP('C-sidumine'!S40,'C-taust'!$B$2:$F$65,4,FALSE),0)*'C-sidumine'!U40*IFERROR(VLOOKUP('C-sidumine'!S40,'C-taust'!$B$2:$F$65,5,FALSE),0)*'C-sidumine'!T40</f>
        <v>0</v>
      </c>
      <c r="AA47" s="282">
        <f>IFERROR(VLOOKUP('C-sidumine'!V40,'C-taust'!$B$2:$F$65,4,FALSE),0)*'C-sidumine'!X40*IFERROR(VLOOKUP('C-sidumine'!V40,'C-taust'!$B$2:$F$65,5,FALSE),0)*'C-sidumine'!W40</f>
        <v>0</v>
      </c>
      <c r="AB47" s="278">
        <f>(L47*'C-sidumine'!G40*0.45)+(Q47*0.45)+(V47*0.45)</f>
        <v>0</v>
      </c>
      <c r="AC47" s="278">
        <f t="shared" si="13"/>
        <v>0</v>
      </c>
      <c r="AD47" s="278">
        <f t="shared" si="9"/>
        <v>0</v>
      </c>
    </row>
    <row r="48" spans="1:30" ht="18">
      <c r="B48" s="261" t="s">
        <v>689</v>
      </c>
      <c r="C48">
        <v>1</v>
      </c>
      <c r="D48">
        <v>0.9</v>
      </c>
      <c r="E48">
        <v>0.85</v>
      </c>
      <c r="F48" s="259"/>
      <c r="H48" s="222">
        <f>'C-sidumine'!D41</f>
        <v>0</v>
      </c>
      <c r="I48" s="278">
        <f>'C-sidumine'!F41</f>
        <v>0</v>
      </c>
      <c r="J48" s="223">
        <f>IFERROR(VLOOKUP('C-sidumine'!D41,'C-taust'!$B$2:$F$65,4,FALSE),0)</f>
        <v>0</v>
      </c>
      <c r="K48" s="286">
        <f>IFERROR(VLOOKUP('C-sidumine'!D41,'C-taust'!$B$2:$F$65,2,FALSE),0)</f>
        <v>0</v>
      </c>
      <c r="L48" s="278">
        <f t="shared" si="10"/>
        <v>0</v>
      </c>
      <c r="M48" s="223">
        <f>IFERROR(VLOOKUP('C-sidumine'!D41,'C-taust'!$B$2:$F$65,3,FALSE),0)</f>
        <v>0</v>
      </c>
      <c r="N48" s="279">
        <f t="shared" si="4"/>
        <v>0</v>
      </c>
      <c r="O48" s="223"/>
      <c r="P48" s="223"/>
      <c r="Q48" s="223"/>
      <c r="R48" s="223"/>
      <c r="S48" s="223"/>
      <c r="T48" s="223"/>
      <c r="U48" s="223"/>
      <c r="V48" s="223"/>
      <c r="W48" s="223"/>
      <c r="X48" s="281"/>
      <c r="Y48" s="282">
        <f>IFERROR(VLOOKUP('C-sidumine'!P41,'C-taust'!$B$2:$F$65,4,FALSE),0)*'C-sidumine'!R41*IFERROR(VLOOKUP('C-sidumine'!P41,'C-taust'!$B$2:$F$65,5,FALSE),0)*'C-sidumine'!Q41</f>
        <v>0</v>
      </c>
      <c r="Z48" s="282">
        <f>IFERROR(VLOOKUP('C-sidumine'!S41,'C-taust'!$B$2:$F$65,4,FALSE),0)*'C-sidumine'!U41*IFERROR(VLOOKUP('C-sidumine'!S41,'C-taust'!$B$2:$F$65,5,FALSE),0)*'C-sidumine'!T41</f>
        <v>0</v>
      </c>
      <c r="AA48" s="282">
        <f>IFERROR(VLOOKUP('C-sidumine'!V41,'C-taust'!$B$2:$F$65,4,FALSE),0)*'C-sidumine'!X41*IFERROR(VLOOKUP('C-sidumine'!V41,'C-taust'!$B$2:$F$65,5,FALSE),0)*'C-sidumine'!W41</f>
        <v>0</v>
      </c>
      <c r="AB48" s="278">
        <f>(L48*'C-sidumine'!G41*0.45)+(Q48*0.45)+(V48*0.45)</f>
        <v>0</v>
      </c>
      <c r="AC48" s="278">
        <f t="shared" si="13"/>
        <v>0</v>
      </c>
      <c r="AD48" s="278">
        <f t="shared" si="9"/>
        <v>0</v>
      </c>
    </row>
    <row r="49" spans="2:30" ht="18">
      <c r="B49" s="261" t="s">
        <v>692</v>
      </c>
      <c r="C49">
        <v>1</v>
      </c>
      <c r="D49">
        <v>0.9</v>
      </c>
      <c r="E49">
        <v>0.35</v>
      </c>
      <c r="F49" s="257"/>
      <c r="H49" s="222">
        <f>'C-sidumine'!D42</f>
        <v>0</v>
      </c>
      <c r="I49" s="278">
        <f>'C-sidumine'!F42</f>
        <v>0</v>
      </c>
      <c r="J49" s="223">
        <f>IFERROR(VLOOKUP('C-sidumine'!D42,'C-taust'!$B$2:$F$65,4,FALSE),0)</f>
        <v>0</v>
      </c>
      <c r="K49" s="286">
        <f>IFERROR(VLOOKUP('C-sidumine'!D42,'C-taust'!$B$2:$F$65,2,FALSE),0)</f>
        <v>0</v>
      </c>
      <c r="L49" s="278">
        <f t="shared" si="10"/>
        <v>0</v>
      </c>
      <c r="M49" s="223">
        <f>IFERROR(VLOOKUP('C-sidumine'!D42,'C-taust'!$B$2:$F$65,3,FALSE),0)</f>
        <v>0</v>
      </c>
      <c r="N49" s="279">
        <f t="shared" si="4"/>
        <v>0</v>
      </c>
      <c r="O49" s="223"/>
      <c r="P49" s="223"/>
      <c r="Q49" s="223"/>
      <c r="R49" s="223"/>
      <c r="S49" s="223"/>
      <c r="T49" s="223"/>
      <c r="U49" s="223"/>
      <c r="V49" s="223"/>
      <c r="W49" s="223"/>
      <c r="X49" s="281"/>
      <c r="Y49" s="282">
        <f>IFERROR(VLOOKUP('C-sidumine'!P42,'C-taust'!$B$2:$F$65,4,FALSE),0)*'C-sidumine'!R42*IFERROR(VLOOKUP('C-sidumine'!P42,'C-taust'!$B$2:$F$65,5,FALSE),0)*'C-sidumine'!Q42</f>
        <v>0</v>
      </c>
      <c r="Z49" s="282">
        <f>IFERROR(VLOOKUP('C-sidumine'!S42,'C-taust'!$B$2:$F$65,4,FALSE),0)*'C-sidumine'!U42*IFERROR(VLOOKUP('C-sidumine'!S42,'C-taust'!$B$2:$F$65,5,FALSE),0)*'C-sidumine'!T42</f>
        <v>0</v>
      </c>
      <c r="AA49" s="282">
        <f>IFERROR(VLOOKUP('C-sidumine'!V42,'C-taust'!$B$2:$F$65,4,FALSE),0)*'C-sidumine'!X42*IFERROR(VLOOKUP('C-sidumine'!V42,'C-taust'!$B$2:$F$65,5,FALSE),0)*'C-sidumine'!W42</f>
        <v>0</v>
      </c>
      <c r="AB49" s="278">
        <f>(L49*'C-sidumine'!G42*0.45)+(Q49*0.45)+(V49*0.45)</f>
        <v>0</v>
      </c>
      <c r="AC49" s="278">
        <f t="shared" si="13"/>
        <v>0</v>
      </c>
      <c r="AD49" s="278">
        <f t="shared" si="9"/>
        <v>0</v>
      </c>
    </row>
    <row r="50" spans="2:30" ht="18">
      <c r="B50" s="261" t="s">
        <v>696</v>
      </c>
      <c r="C50">
        <v>1</v>
      </c>
      <c r="D50">
        <v>0.4</v>
      </c>
      <c r="F50" s="258"/>
      <c r="H50" s="222">
        <f>'C-sidumine'!D43</f>
        <v>0</v>
      </c>
      <c r="I50" s="278">
        <f>'C-sidumine'!F43</f>
        <v>0</v>
      </c>
      <c r="J50" s="223">
        <f>IFERROR(VLOOKUP('C-sidumine'!D43,'C-taust'!$B$2:$F$65,4,FALSE),0)</f>
        <v>0</v>
      </c>
      <c r="K50" s="286">
        <f>IFERROR(VLOOKUP('C-sidumine'!D43,'C-taust'!$B$2:$F$65,2,FALSE),0)</f>
        <v>0</v>
      </c>
      <c r="L50" s="278">
        <f t="shared" si="10"/>
        <v>0</v>
      </c>
      <c r="M50" s="223">
        <f>IFERROR(VLOOKUP('C-sidumine'!D43,'C-taust'!$B$2:$F$65,3,FALSE),0)</f>
        <v>0</v>
      </c>
      <c r="N50" s="279">
        <f t="shared" si="4"/>
        <v>0</v>
      </c>
      <c r="O50" s="223"/>
      <c r="P50" s="223"/>
      <c r="Q50" s="223"/>
      <c r="R50" s="223"/>
      <c r="S50" s="223"/>
      <c r="T50" s="223"/>
      <c r="U50" s="223"/>
      <c r="V50" s="223"/>
      <c r="W50" s="223"/>
      <c r="X50" s="281"/>
      <c r="Y50" s="282">
        <f>IFERROR(VLOOKUP('C-sidumine'!P43,'C-taust'!$B$2:$F$65,4,FALSE),0)*'C-sidumine'!R43*IFERROR(VLOOKUP('C-sidumine'!P43,'C-taust'!$B$2:$F$65,5,FALSE),0)*'C-sidumine'!Q43</f>
        <v>0</v>
      </c>
      <c r="Z50" s="282">
        <f>IFERROR(VLOOKUP('C-sidumine'!S43,'C-taust'!$B$2:$F$65,4,FALSE),0)*'C-sidumine'!U43*IFERROR(VLOOKUP('C-sidumine'!S43,'C-taust'!$B$2:$F$65,5,FALSE),0)*'C-sidumine'!T43</f>
        <v>0</v>
      </c>
      <c r="AA50" s="282">
        <f>IFERROR(VLOOKUP('C-sidumine'!V43,'C-taust'!$B$2:$F$65,4,FALSE),0)*'C-sidumine'!X43*IFERROR(VLOOKUP('C-sidumine'!V43,'C-taust'!$B$2:$F$65,5,FALSE),0)*'C-sidumine'!W43</f>
        <v>0</v>
      </c>
      <c r="AB50" s="278">
        <f>(L50*'C-sidumine'!G43*0.45)+(Q50*0.45)+(V50*0.45)</f>
        <v>0</v>
      </c>
      <c r="AC50" s="278">
        <f t="shared" si="13"/>
        <v>0</v>
      </c>
      <c r="AD50" s="278">
        <f t="shared" si="9"/>
        <v>0</v>
      </c>
    </row>
    <row r="51" spans="2:30" ht="18.5">
      <c r="B51" s="261" t="s">
        <v>1155</v>
      </c>
      <c r="C51">
        <v>1</v>
      </c>
      <c r="D51">
        <v>2</v>
      </c>
      <c r="E51">
        <v>0.85</v>
      </c>
      <c r="F51" s="258"/>
      <c r="H51" s="222">
        <f>'C-sidumine'!D44</f>
        <v>0</v>
      </c>
      <c r="I51" s="278">
        <f>'C-sidumine'!F44</f>
        <v>0</v>
      </c>
      <c r="J51" s="223">
        <f>IFERROR(VLOOKUP('C-sidumine'!D44,'C-taust'!$B$2:$F$65,4,FALSE),0)</f>
        <v>0</v>
      </c>
      <c r="K51" s="286">
        <f>IFERROR(VLOOKUP('C-sidumine'!D44,'C-taust'!$B$2:$F$65,2,FALSE),0)</f>
        <v>0</v>
      </c>
      <c r="L51" s="278">
        <f t="shared" si="10"/>
        <v>0</v>
      </c>
      <c r="M51" s="223">
        <f>IFERROR(VLOOKUP('C-sidumine'!D44,'C-taust'!$B$2:$F$65,3,FALSE),0)</f>
        <v>0</v>
      </c>
      <c r="N51" s="279">
        <f t="shared" si="4"/>
        <v>0</v>
      </c>
      <c r="O51" s="285"/>
      <c r="P51" s="285"/>
      <c r="Q51" s="285"/>
      <c r="R51" s="285"/>
      <c r="S51" s="285"/>
      <c r="T51" s="285"/>
      <c r="U51" s="285"/>
      <c r="V51" s="285"/>
      <c r="W51" s="285"/>
      <c r="X51" s="285"/>
      <c r="Y51" s="282">
        <f>IFERROR(VLOOKUP('C-sidumine'!P44,'C-taust'!$B$2:$F$65,4,FALSE),0)*'C-sidumine'!R44*IFERROR(VLOOKUP('C-sidumine'!P44,'C-taust'!$B$2:$F$65,5,FALSE),0)*'C-sidumine'!Q44</f>
        <v>0</v>
      </c>
      <c r="Z51" s="282">
        <f>IFERROR(VLOOKUP('C-sidumine'!S44,'C-taust'!$B$2:$F$65,4,FALSE),0)*'C-sidumine'!U44*IFERROR(VLOOKUP('C-sidumine'!S44,'C-taust'!$B$2:$F$65,5,FALSE),0)*'C-sidumine'!T44</f>
        <v>0</v>
      </c>
      <c r="AA51" s="282">
        <f>IFERROR(VLOOKUP('C-sidumine'!V44,'C-taust'!$B$2:$F$65,4,FALSE),0)*'C-sidumine'!X44*IFERROR(VLOOKUP('C-sidumine'!V44,'C-taust'!$B$2:$F$65,5,FALSE),0)*'C-sidumine'!W44</f>
        <v>0</v>
      </c>
      <c r="AB51" s="278">
        <f>(L51*'C-sidumine'!G44*0.45)+(Q51*0.45)+(V51*0.45)</f>
        <v>0</v>
      </c>
      <c r="AC51" s="278">
        <f t="shared" si="13"/>
        <v>0</v>
      </c>
      <c r="AD51" s="278">
        <f t="shared" si="9"/>
        <v>0</v>
      </c>
    </row>
    <row r="52" spans="2:30" ht="18.5">
      <c r="B52" s="261" t="s">
        <v>1156</v>
      </c>
      <c r="C52">
        <v>1</v>
      </c>
      <c r="D52">
        <v>2</v>
      </c>
      <c r="E52">
        <v>0.3</v>
      </c>
      <c r="F52" s="253"/>
      <c r="H52" s="222">
        <f>'C-sidumine'!D45</f>
        <v>0</v>
      </c>
      <c r="I52" s="278">
        <f>'C-sidumine'!F45</f>
        <v>0</v>
      </c>
      <c r="J52" s="223">
        <f>IFERROR(VLOOKUP('C-sidumine'!D45,'C-taust'!$B$2:$F$65,4,FALSE),0)</f>
        <v>0</v>
      </c>
      <c r="K52" s="286">
        <f>IFERROR(VLOOKUP('C-sidumine'!D45,'C-taust'!$B$2:$F$65,2,FALSE),0)</f>
        <v>0</v>
      </c>
      <c r="L52" s="278">
        <f t="shared" si="10"/>
        <v>0</v>
      </c>
      <c r="M52" s="223">
        <f>IFERROR(VLOOKUP('C-sidumine'!D45,'C-taust'!$B$2:$F$65,3,FALSE),0)</f>
        <v>0</v>
      </c>
      <c r="N52" s="279">
        <f t="shared" si="4"/>
        <v>0</v>
      </c>
      <c r="O52" s="285"/>
      <c r="P52" s="285"/>
      <c r="Q52" s="285"/>
      <c r="R52" s="285"/>
      <c r="S52" s="285"/>
      <c r="T52" s="285"/>
      <c r="U52" s="285"/>
      <c r="V52" s="285"/>
      <c r="W52" s="285"/>
      <c r="X52" s="285"/>
      <c r="Y52" s="282">
        <f>IFERROR(VLOOKUP('C-sidumine'!P45,'C-taust'!$B$2:$F$65,4,FALSE),0)*'C-sidumine'!R45*IFERROR(VLOOKUP('C-sidumine'!P45,'C-taust'!$B$2:$F$65,5,FALSE),0)*'C-sidumine'!Q45</f>
        <v>0</v>
      </c>
      <c r="Z52" s="282">
        <f>IFERROR(VLOOKUP('C-sidumine'!S45,'C-taust'!$B$2:$F$65,4,FALSE),0)*'C-sidumine'!U45*IFERROR(VLOOKUP('C-sidumine'!S45,'C-taust'!$B$2:$F$65,5,FALSE),0)*'C-sidumine'!T45</f>
        <v>0</v>
      </c>
      <c r="AA52" s="282">
        <f>IFERROR(VLOOKUP('C-sidumine'!V45,'C-taust'!$B$2:$F$65,4,FALSE),0)*'C-sidumine'!X45*IFERROR(VLOOKUP('C-sidumine'!V45,'C-taust'!$B$2:$F$65,5,FALSE),0)*'C-sidumine'!W45</f>
        <v>0</v>
      </c>
      <c r="AB52" s="278">
        <f>(L52*'C-sidumine'!G45*0.45)+(Q52*0.45)+(V52*0.45)</f>
        <v>0</v>
      </c>
      <c r="AC52" s="278">
        <f t="shared" si="13"/>
        <v>0</v>
      </c>
      <c r="AD52" s="278">
        <f t="shared" si="9"/>
        <v>0</v>
      </c>
    </row>
    <row r="53" spans="2:30" ht="18.5">
      <c r="B53" s="261" t="s">
        <v>1150</v>
      </c>
      <c r="F53" s="253"/>
      <c r="H53" s="222">
        <f>'C-sidumine'!D46</f>
        <v>0</v>
      </c>
      <c r="I53" s="278">
        <f>'C-sidumine'!F46</f>
        <v>0</v>
      </c>
      <c r="J53" s="223">
        <f>IFERROR(VLOOKUP('C-sidumine'!D46,'C-taust'!$B$2:$F$65,4,FALSE),0)</f>
        <v>0</v>
      </c>
      <c r="K53" s="286">
        <f>IFERROR(VLOOKUP('C-sidumine'!D46,'C-taust'!$B$2:$F$65,2,FALSE),0)</f>
        <v>0</v>
      </c>
      <c r="L53" s="278">
        <f t="shared" si="10"/>
        <v>0</v>
      </c>
      <c r="M53" s="223">
        <f>IFERROR(VLOOKUP('C-sidumine'!D46,'C-taust'!$B$2:$F$65,3,FALSE),0)</f>
        <v>0</v>
      </c>
      <c r="N53" s="279">
        <f t="shared" si="4"/>
        <v>0</v>
      </c>
      <c r="O53" s="285"/>
      <c r="P53" s="285"/>
      <c r="Q53" s="285"/>
      <c r="R53" s="285"/>
      <c r="S53" s="285"/>
      <c r="T53" s="285"/>
      <c r="U53" s="285"/>
      <c r="V53" s="285"/>
      <c r="W53" s="285"/>
      <c r="X53" s="285"/>
      <c r="Y53" s="282">
        <f>IFERROR(VLOOKUP('C-sidumine'!P46,'C-taust'!$B$2:$F$65,4,FALSE),0)*'C-sidumine'!R46*IFERROR(VLOOKUP('C-sidumine'!P46,'C-taust'!$B$2:$F$65,5,FALSE),0)*'C-sidumine'!Q46</f>
        <v>0</v>
      </c>
      <c r="Z53" s="282">
        <f>IFERROR(VLOOKUP('C-sidumine'!S46,'C-taust'!$B$2:$F$65,4,FALSE),0)*'C-sidumine'!U46*IFERROR(VLOOKUP('C-sidumine'!S46,'C-taust'!$B$2:$F$65,5,FALSE),0)*'C-sidumine'!T46</f>
        <v>0</v>
      </c>
      <c r="AA53" s="282">
        <f>IFERROR(VLOOKUP('C-sidumine'!V46,'C-taust'!$B$2:$F$65,4,FALSE),0)*'C-sidumine'!X46*IFERROR(VLOOKUP('C-sidumine'!V46,'C-taust'!$B$2:$F$65,5,FALSE),0)*'C-sidumine'!W46</f>
        <v>0</v>
      </c>
      <c r="AB53" s="278">
        <f>(L53*'C-sidumine'!G46*0.45)+(Q53*0.45)+(V53*0.45)</f>
        <v>0</v>
      </c>
      <c r="AC53" s="278">
        <f t="shared" si="13"/>
        <v>0</v>
      </c>
      <c r="AD53" s="278">
        <f t="shared" si="9"/>
        <v>0</v>
      </c>
    </row>
    <row r="54" spans="2:30" ht="18.5">
      <c r="B54" t="s">
        <v>1157</v>
      </c>
      <c r="F54" s="253"/>
      <c r="H54" s="222">
        <f>'C-sidumine'!D47</f>
        <v>0</v>
      </c>
      <c r="I54" s="278">
        <f>'C-sidumine'!F47</f>
        <v>0</v>
      </c>
      <c r="J54" s="223">
        <f>IFERROR(VLOOKUP('C-sidumine'!D47,'C-taust'!$B$2:$F$65,4,FALSE),0)</f>
        <v>0</v>
      </c>
      <c r="K54" s="286">
        <f>IFERROR(VLOOKUP('C-sidumine'!D47,'C-taust'!$B$2:$F$65,2,FALSE),0)</f>
        <v>0</v>
      </c>
      <c r="L54" s="278">
        <f t="shared" si="10"/>
        <v>0</v>
      </c>
      <c r="M54" s="223">
        <f>IFERROR(VLOOKUP('C-sidumine'!D47,'C-taust'!$B$2:$F$65,3,FALSE),0)</f>
        <v>0</v>
      </c>
      <c r="N54" s="279">
        <f t="shared" si="4"/>
        <v>0</v>
      </c>
      <c r="O54" s="285"/>
      <c r="P54" s="285"/>
      <c r="Q54" s="285"/>
      <c r="R54" s="285"/>
      <c r="S54" s="285"/>
      <c r="T54" s="285"/>
      <c r="U54" s="285"/>
      <c r="V54" s="285"/>
      <c r="W54" s="285"/>
      <c r="X54" s="285"/>
      <c r="Y54" s="282">
        <f>IFERROR(VLOOKUP('C-sidumine'!P47,'C-taust'!$B$2:$F$65,4,FALSE),0)*'C-sidumine'!R47*IFERROR(VLOOKUP('C-sidumine'!P47,'C-taust'!$B$2:$F$65,5,FALSE),0)*'C-sidumine'!Q47</f>
        <v>0</v>
      </c>
      <c r="Z54" s="282">
        <f>IFERROR(VLOOKUP('C-sidumine'!S47,'C-taust'!$B$2:$F$65,4,FALSE),0)*'C-sidumine'!U47*IFERROR(VLOOKUP('C-sidumine'!S47,'C-taust'!$B$2:$F$65,5,FALSE),0)*'C-sidumine'!T47</f>
        <v>0</v>
      </c>
      <c r="AA54" s="282">
        <f>IFERROR(VLOOKUP('C-sidumine'!V47,'C-taust'!$B$2:$F$65,4,FALSE),0)*'C-sidumine'!X47*IFERROR(VLOOKUP('C-sidumine'!V47,'C-taust'!$B$2:$F$65,5,FALSE),0)*'C-sidumine'!W47</f>
        <v>0</v>
      </c>
      <c r="AB54" s="278">
        <f>(L54*'C-sidumine'!G47*0.45)+(Q54*0.45)+(V54*0.45)</f>
        <v>0</v>
      </c>
      <c r="AC54" s="278">
        <f t="shared" si="13"/>
        <v>0</v>
      </c>
      <c r="AD54" s="278">
        <f t="shared" si="9"/>
        <v>0</v>
      </c>
    </row>
    <row r="55" spans="2:30" ht="18.5">
      <c r="B55" s="263" t="s">
        <v>1158</v>
      </c>
      <c r="C55">
        <v>1</v>
      </c>
      <c r="D55">
        <v>0.9</v>
      </c>
      <c r="E55">
        <v>0.85</v>
      </c>
      <c r="F55" s="253"/>
      <c r="H55" s="222">
        <f>'C-sidumine'!D48</f>
        <v>0</v>
      </c>
      <c r="I55" s="278">
        <f>'C-sidumine'!F48</f>
        <v>0</v>
      </c>
      <c r="J55" s="223">
        <f>IFERROR(VLOOKUP('C-sidumine'!D48,'C-taust'!$B$2:$F$65,4,FALSE),0)</f>
        <v>0</v>
      </c>
      <c r="K55" s="286">
        <f>IFERROR(VLOOKUP('C-sidumine'!D48,'C-taust'!$B$2:$F$65,2,FALSE),0)</f>
        <v>0</v>
      </c>
      <c r="L55" s="278">
        <f t="shared" si="10"/>
        <v>0</v>
      </c>
      <c r="M55" s="223">
        <f>IFERROR(VLOOKUP('C-sidumine'!D48,'C-taust'!$B$2:$F$65,3,FALSE),0)</f>
        <v>0</v>
      </c>
      <c r="N55" s="279">
        <f t="shared" si="4"/>
        <v>0</v>
      </c>
      <c r="O55" s="285"/>
      <c r="P55" s="285"/>
      <c r="Q55" s="285"/>
      <c r="R55" s="285"/>
      <c r="S55" s="285"/>
      <c r="T55" s="285"/>
      <c r="U55" s="285"/>
      <c r="V55" s="285"/>
      <c r="W55" s="285"/>
      <c r="X55" s="285"/>
      <c r="Y55" s="282">
        <f>IFERROR(VLOOKUP('C-sidumine'!P48,'C-taust'!$B$2:$F$65,4,FALSE),0)*'C-sidumine'!R48*IFERROR(VLOOKUP('C-sidumine'!P48,'C-taust'!$B$2:$F$65,5,FALSE),0)*'C-sidumine'!Q48</f>
        <v>0</v>
      </c>
      <c r="Z55" s="282">
        <f>IFERROR(VLOOKUP('C-sidumine'!S48,'C-taust'!$B$2:$F$65,4,FALSE),0)*'C-sidumine'!U48*IFERROR(VLOOKUP('C-sidumine'!S48,'C-taust'!$B$2:$F$65,5,FALSE),0)*'C-sidumine'!T48</f>
        <v>0</v>
      </c>
      <c r="AA55" s="282">
        <f>IFERROR(VLOOKUP('C-sidumine'!V48,'C-taust'!$B$2:$F$65,4,FALSE),0)*'C-sidumine'!X48*IFERROR(VLOOKUP('C-sidumine'!V48,'C-taust'!$B$2:$F$65,5,FALSE),0)*'C-sidumine'!W48</f>
        <v>0</v>
      </c>
      <c r="AB55" s="278">
        <f>(L55*'C-sidumine'!G48*0.45)+(Q55*0.45)+(V55*0.45)</f>
        <v>0</v>
      </c>
      <c r="AC55" s="278">
        <f t="shared" si="13"/>
        <v>0</v>
      </c>
      <c r="AD55" s="278">
        <f t="shared" si="9"/>
        <v>0</v>
      </c>
    </row>
    <row r="56" spans="2:30" ht="18.5">
      <c r="B56" s="263"/>
      <c r="F56" s="253"/>
      <c r="H56" s="222">
        <f>'C-sidumine'!D49</f>
        <v>0</v>
      </c>
      <c r="I56" s="278">
        <f>'C-sidumine'!F49</f>
        <v>0</v>
      </c>
      <c r="J56" s="223">
        <f>IFERROR(VLOOKUP('C-sidumine'!D49,'C-taust'!$B$2:$F$65,4,FALSE),0)</f>
        <v>0</v>
      </c>
      <c r="K56" s="286">
        <f>IFERROR(VLOOKUP('C-sidumine'!D49,'C-taust'!$B$2:$F$65,2,FALSE),0)</f>
        <v>0</v>
      </c>
      <c r="L56" s="278">
        <f t="shared" si="10"/>
        <v>0</v>
      </c>
      <c r="M56" s="223">
        <f>IFERROR(VLOOKUP('C-sidumine'!D49,'C-taust'!$B$2:$F$65,3,FALSE),0)</f>
        <v>0</v>
      </c>
      <c r="N56" s="279">
        <f t="shared" si="4"/>
        <v>0</v>
      </c>
      <c r="O56" s="285"/>
      <c r="P56" s="285"/>
      <c r="Q56" s="285"/>
      <c r="R56" s="285"/>
      <c r="S56" s="285"/>
      <c r="T56" s="285"/>
      <c r="U56" s="285"/>
      <c r="V56" s="285"/>
      <c r="W56" s="285"/>
      <c r="X56" s="285"/>
      <c r="Y56" s="282">
        <f>IFERROR(VLOOKUP('C-sidumine'!P49,'C-taust'!$B$2:$F$65,4,FALSE),0)*'C-sidumine'!R49*IFERROR(VLOOKUP('C-sidumine'!P49,'C-taust'!$B$2:$F$65,5,FALSE),0)*'C-sidumine'!Q49</f>
        <v>0</v>
      </c>
      <c r="Z56" s="282">
        <f>IFERROR(VLOOKUP('C-sidumine'!S49,'C-taust'!$B$2:$F$65,4,FALSE),0)*'C-sidumine'!U49*IFERROR(VLOOKUP('C-sidumine'!S49,'C-taust'!$B$2:$F$65,5,FALSE),0)*'C-sidumine'!T49</f>
        <v>0</v>
      </c>
      <c r="AA56" s="282">
        <f>IFERROR(VLOOKUP('C-sidumine'!V49,'C-taust'!$B$2:$F$65,4,FALSE),0)*'C-sidumine'!X49*IFERROR(VLOOKUP('C-sidumine'!V49,'C-taust'!$B$2:$F$65,5,FALSE),0)*'C-sidumine'!W49</f>
        <v>0</v>
      </c>
      <c r="AB56" s="278">
        <f>(L56*'C-sidumine'!G49*0.45)+(Q56*0.45)+(V56*0.45)</f>
        <v>0</v>
      </c>
      <c r="AC56" s="278">
        <f t="shared" si="13"/>
        <v>0</v>
      </c>
      <c r="AD56" s="278">
        <f t="shared" si="9"/>
        <v>0</v>
      </c>
    </row>
    <row r="57" spans="2:30" ht="18.5">
      <c r="B57" s="263" t="s">
        <v>1150</v>
      </c>
      <c r="C57">
        <v>0</v>
      </c>
      <c r="D57">
        <v>0</v>
      </c>
      <c r="E57">
        <v>0</v>
      </c>
      <c r="F57" s="253"/>
      <c r="H57" s="222">
        <f>'C-sidumine'!D50</f>
        <v>0</v>
      </c>
      <c r="I57" s="278">
        <f>'C-sidumine'!F50</f>
        <v>0</v>
      </c>
      <c r="J57" s="223">
        <f>IFERROR(VLOOKUP('C-sidumine'!D50,'C-taust'!$B$2:$F$65,4,FALSE),0)</f>
        <v>0</v>
      </c>
      <c r="K57" s="286">
        <f>IFERROR(VLOOKUP('C-sidumine'!D50,'C-taust'!$B$2:$F$65,2,FALSE),0)</f>
        <v>0</v>
      </c>
      <c r="L57" s="278">
        <f t="shared" si="10"/>
        <v>0</v>
      </c>
      <c r="M57" s="223">
        <f>IFERROR(VLOOKUP('C-sidumine'!D50,'C-taust'!$B$2:$F$65,3,FALSE),0)</f>
        <v>0</v>
      </c>
      <c r="N57" s="279">
        <f t="shared" si="4"/>
        <v>0</v>
      </c>
      <c r="O57" s="285"/>
      <c r="P57" s="285"/>
      <c r="Q57" s="285"/>
      <c r="R57" s="285"/>
      <c r="S57" s="285"/>
      <c r="T57" s="285"/>
      <c r="U57" s="285"/>
      <c r="V57" s="285"/>
      <c r="W57" s="285"/>
      <c r="X57" s="285"/>
      <c r="Y57" s="282">
        <f>IFERROR(VLOOKUP('C-sidumine'!P50,'C-taust'!$B$2:$F$65,4,FALSE),0)*'C-sidumine'!R50*IFERROR(VLOOKUP('C-sidumine'!P50,'C-taust'!$B$2:$F$65,5,FALSE),0)*'C-sidumine'!Q50</f>
        <v>0</v>
      </c>
      <c r="Z57" s="282">
        <f>IFERROR(VLOOKUP('C-sidumine'!S50,'C-taust'!$B$2:$F$65,4,FALSE),0)*'C-sidumine'!U50*IFERROR(VLOOKUP('C-sidumine'!S50,'C-taust'!$B$2:$F$65,5,FALSE),0)*'C-sidumine'!T50</f>
        <v>0</v>
      </c>
      <c r="AA57" s="282">
        <f>IFERROR(VLOOKUP('C-sidumine'!V50,'C-taust'!$B$2:$F$65,4,FALSE),0)*'C-sidumine'!X50*IFERROR(VLOOKUP('C-sidumine'!V50,'C-taust'!$B$2:$F$65,5,FALSE),0)*'C-sidumine'!W50</f>
        <v>0</v>
      </c>
      <c r="AB57" s="278">
        <f>(L57*'C-sidumine'!G50*0.45)+(Q57*0.45)+(V57*0.45)</f>
        <v>0</v>
      </c>
      <c r="AC57" s="278">
        <f t="shared" si="13"/>
        <v>0</v>
      </c>
      <c r="AD57" s="278">
        <f t="shared" si="9"/>
        <v>0</v>
      </c>
    </row>
    <row r="58" spans="2:30" ht="18.5">
      <c r="B58" t="s">
        <v>1159</v>
      </c>
      <c r="F58" s="253"/>
      <c r="H58" s="222">
        <f>'C-sidumine'!D51</f>
        <v>0</v>
      </c>
      <c r="I58" s="278">
        <f>'C-sidumine'!F51</f>
        <v>0</v>
      </c>
      <c r="J58" s="223">
        <f>IFERROR(VLOOKUP('C-sidumine'!D51,'C-taust'!$B$2:$F$65,4,FALSE),0)</f>
        <v>0</v>
      </c>
      <c r="K58" s="286">
        <f>IFERROR(VLOOKUP('C-sidumine'!D51,'C-taust'!$B$2:$F$65,2,FALSE),0)</f>
        <v>0</v>
      </c>
      <c r="L58" s="278">
        <f t="shared" si="10"/>
        <v>0</v>
      </c>
      <c r="M58" s="223">
        <f>IFERROR(VLOOKUP('C-sidumine'!D51,'C-taust'!$B$2:$F$65,3,FALSE),0)</f>
        <v>0</v>
      </c>
      <c r="N58" s="279">
        <f t="shared" si="4"/>
        <v>0</v>
      </c>
      <c r="O58" s="285"/>
      <c r="P58" s="285"/>
      <c r="Q58" s="285"/>
      <c r="R58" s="285"/>
      <c r="S58" s="285"/>
      <c r="T58" s="285"/>
      <c r="U58" s="285"/>
      <c r="V58" s="285"/>
      <c r="W58" s="285"/>
      <c r="X58" s="285"/>
      <c r="Y58" s="282">
        <f>IFERROR(VLOOKUP('C-sidumine'!P51,'C-taust'!$B$2:$F$65,4,FALSE),0)*'C-sidumine'!R51*IFERROR(VLOOKUP('C-sidumine'!P51,'C-taust'!$B$2:$F$65,5,FALSE),0)*'C-sidumine'!Q51</f>
        <v>0</v>
      </c>
      <c r="Z58" s="282">
        <f>IFERROR(VLOOKUP('C-sidumine'!S51,'C-taust'!$B$2:$F$65,4,FALSE),0)*'C-sidumine'!U51*IFERROR(VLOOKUP('C-sidumine'!S51,'C-taust'!$B$2:$F$65,5,FALSE),0)*'C-sidumine'!T51</f>
        <v>0</v>
      </c>
      <c r="AA58" s="282">
        <f>IFERROR(VLOOKUP('C-sidumine'!V51,'C-taust'!$B$2:$F$65,4,FALSE),0)*'C-sidumine'!X51*IFERROR(VLOOKUP('C-sidumine'!V51,'C-taust'!$B$2:$F$65,5,FALSE),0)*'C-sidumine'!W51</f>
        <v>0</v>
      </c>
      <c r="AB58" s="278">
        <f>(L58*'C-sidumine'!G51*0.45)+(Q58*0.45)+(V58*0.45)</f>
        <v>0</v>
      </c>
      <c r="AC58" s="278">
        <f t="shared" si="13"/>
        <v>0</v>
      </c>
      <c r="AD58" s="278">
        <f t="shared" si="9"/>
        <v>0</v>
      </c>
    </row>
    <row r="59" spans="2:30" ht="18.5">
      <c r="B59" s="263"/>
      <c r="C59">
        <v>0</v>
      </c>
      <c r="D59">
        <v>0</v>
      </c>
      <c r="E59">
        <v>0</v>
      </c>
      <c r="F59" s="253"/>
      <c r="H59" s="222">
        <f>'C-sidumine'!D52</f>
        <v>0</v>
      </c>
      <c r="I59" s="278">
        <f>'C-sidumine'!F52</f>
        <v>0</v>
      </c>
      <c r="J59" s="223">
        <f>IFERROR(VLOOKUP('C-sidumine'!D52,'C-taust'!$B$2:$F$65,4,FALSE),0)</f>
        <v>0</v>
      </c>
      <c r="K59" s="286">
        <f>IFERROR(VLOOKUP('C-sidumine'!D52,'C-taust'!$B$2:$F$65,2,FALSE),0)</f>
        <v>0</v>
      </c>
      <c r="L59" s="278">
        <f t="shared" si="10"/>
        <v>0</v>
      </c>
      <c r="M59" s="223">
        <f>IFERROR(VLOOKUP('C-sidumine'!D52,'C-taust'!$B$2:$F$65,3,FALSE),0)</f>
        <v>0</v>
      </c>
      <c r="N59" s="279">
        <f t="shared" si="4"/>
        <v>0</v>
      </c>
      <c r="O59" s="285"/>
      <c r="P59" s="285"/>
      <c r="Q59" s="285"/>
      <c r="R59" s="285"/>
      <c r="S59" s="285"/>
      <c r="T59" s="285"/>
      <c r="U59" s="285"/>
      <c r="V59" s="285"/>
      <c r="W59" s="285"/>
      <c r="X59" s="285"/>
      <c r="Y59" s="282">
        <f>IFERROR(VLOOKUP('C-sidumine'!P52,'C-taust'!$B$2:$F$65,4,FALSE),0)*'C-sidumine'!R52*IFERROR(VLOOKUP('C-sidumine'!P52,'C-taust'!$B$2:$F$65,5,FALSE),0)*'C-sidumine'!Q52</f>
        <v>0</v>
      </c>
      <c r="Z59" s="282">
        <f>IFERROR(VLOOKUP('C-sidumine'!S52,'C-taust'!$B$2:$F$65,4,FALSE),0)*'C-sidumine'!U52*IFERROR(VLOOKUP('C-sidumine'!S52,'C-taust'!$B$2:$F$65,5,FALSE),0)*'C-sidumine'!T52</f>
        <v>0</v>
      </c>
      <c r="AA59" s="282">
        <f>IFERROR(VLOOKUP('C-sidumine'!V52,'C-taust'!$B$2:$F$65,4,FALSE),0)*'C-sidumine'!X52*IFERROR(VLOOKUP('C-sidumine'!V52,'C-taust'!$B$2:$F$65,5,FALSE),0)*'C-sidumine'!W52</f>
        <v>0</v>
      </c>
      <c r="AB59" s="278">
        <f>(L59*'C-sidumine'!G52*0.45)+(Q59*0.45)+(V59*0.45)</f>
        <v>0</v>
      </c>
      <c r="AC59" s="278">
        <f t="shared" si="13"/>
        <v>0</v>
      </c>
      <c r="AD59" s="278">
        <f t="shared" si="9"/>
        <v>0</v>
      </c>
    </row>
    <row r="60" spans="2:30" ht="18.5">
      <c r="B60" s="264" t="s">
        <v>1150</v>
      </c>
      <c r="C60" s="223">
        <v>0</v>
      </c>
      <c r="D60" s="223">
        <v>0</v>
      </c>
      <c r="E60" s="223">
        <v>0</v>
      </c>
      <c r="F60" s="258"/>
      <c r="H60" s="222">
        <f>'C-sidumine'!D53</f>
        <v>0</v>
      </c>
      <c r="I60" s="278">
        <f>'C-sidumine'!F53</f>
        <v>0</v>
      </c>
      <c r="J60" s="223">
        <f>IFERROR(VLOOKUP('C-sidumine'!D53,'C-taust'!$B$2:$F$65,4,FALSE),0)</f>
        <v>0</v>
      </c>
      <c r="K60" s="286">
        <f>IFERROR(VLOOKUP('C-sidumine'!D53,'C-taust'!$B$2:$F$65,2,FALSE),0)</f>
        <v>0</v>
      </c>
      <c r="L60" s="278">
        <f t="shared" si="10"/>
        <v>0</v>
      </c>
      <c r="M60" s="223">
        <f>IFERROR(VLOOKUP('C-sidumine'!D53,'C-taust'!$B$2:$F$65,3,FALSE),0)</f>
        <v>0</v>
      </c>
      <c r="N60" s="279">
        <f t="shared" si="4"/>
        <v>0</v>
      </c>
      <c r="O60" s="285"/>
      <c r="P60" s="285"/>
      <c r="Q60" s="285"/>
      <c r="R60" s="285"/>
      <c r="S60" s="285"/>
      <c r="T60" s="285"/>
      <c r="U60" s="285"/>
      <c r="V60" s="285"/>
      <c r="W60" s="285"/>
      <c r="X60" s="285"/>
      <c r="Y60" s="282">
        <f>IFERROR(VLOOKUP('C-sidumine'!P53,'C-taust'!$B$2:$F$65,4,FALSE),0)*'C-sidumine'!R53*IFERROR(VLOOKUP('C-sidumine'!P53,'C-taust'!$B$2:$F$65,5,FALSE),0)*'C-sidumine'!Q53</f>
        <v>0</v>
      </c>
      <c r="Z60" s="282">
        <f>IFERROR(VLOOKUP('C-sidumine'!S53,'C-taust'!$B$2:$F$65,4,FALSE),0)*'C-sidumine'!U53*IFERROR(VLOOKUP('C-sidumine'!S53,'C-taust'!$B$2:$F$65,5,FALSE),0)*'C-sidumine'!T53</f>
        <v>0</v>
      </c>
      <c r="AA60" s="282">
        <f>IFERROR(VLOOKUP('C-sidumine'!V53,'C-taust'!$B$2:$F$65,4,FALSE),0)*'C-sidumine'!X53*IFERROR(VLOOKUP('C-sidumine'!V53,'C-taust'!$B$2:$F$65,5,FALSE),0)*'C-sidumine'!W53</f>
        <v>0</v>
      </c>
      <c r="AB60" s="278">
        <f>(L60*'C-sidumine'!G53*0.45)+(Q60*0.45)+(V60*0.45)</f>
        <v>0</v>
      </c>
      <c r="AC60" s="278">
        <f t="shared" si="13"/>
        <v>0</v>
      </c>
      <c r="AD60" s="278">
        <f t="shared" si="9"/>
        <v>0</v>
      </c>
    </row>
    <row r="61" spans="2:30" ht="18.5">
      <c r="B61" s="248" t="s">
        <v>1160</v>
      </c>
      <c r="C61" s="223"/>
      <c r="D61" s="223"/>
      <c r="E61" s="223"/>
      <c r="F61" s="258"/>
      <c r="H61" s="222">
        <f>'C-sidumine'!D54</f>
        <v>0</v>
      </c>
      <c r="I61" s="278">
        <f>'C-sidumine'!F54</f>
        <v>0</v>
      </c>
      <c r="J61" s="223">
        <f>IFERROR(VLOOKUP('C-sidumine'!D54,'C-taust'!$B$2:$F$65,4,FALSE),0)</f>
        <v>0</v>
      </c>
      <c r="K61" s="286">
        <f>IFERROR(VLOOKUP('C-sidumine'!D54,'C-taust'!$B$2:$F$65,2,FALSE),0)</f>
        <v>0</v>
      </c>
      <c r="L61" s="278">
        <f t="shared" si="10"/>
        <v>0</v>
      </c>
      <c r="M61" s="223">
        <f>IFERROR(VLOOKUP('C-sidumine'!D54,'C-taust'!$B$2:$F$65,3,FALSE),0)</f>
        <v>0</v>
      </c>
      <c r="N61" s="279">
        <f t="shared" si="4"/>
        <v>0</v>
      </c>
      <c r="O61" s="285"/>
      <c r="P61" s="285"/>
      <c r="Q61" s="285"/>
      <c r="R61" s="285"/>
      <c r="S61" s="285"/>
      <c r="T61" s="285"/>
      <c r="U61" s="285"/>
      <c r="V61" s="285"/>
      <c r="W61" s="285"/>
      <c r="X61" s="285"/>
      <c r="Y61" s="282">
        <f>IFERROR(VLOOKUP('C-sidumine'!P54,'C-taust'!$B$2:$F$65,4,FALSE),0)*'C-sidumine'!R54*IFERROR(VLOOKUP('C-sidumine'!P54,'C-taust'!$B$2:$F$65,5,FALSE),0)*'C-sidumine'!Q54</f>
        <v>0</v>
      </c>
      <c r="Z61" s="282">
        <f>IFERROR(VLOOKUP('C-sidumine'!S54,'C-taust'!$B$2:$F$65,4,FALSE),0)*'C-sidumine'!U54*IFERROR(VLOOKUP('C-sidumine'!S54,'C-taust'!$B$2:$F$65,5,FALSE),0)*'C-sidumine'!T54</f>
        <v>0</v>
      </c>
      <c r="AA61" s="282">
        <f>IFERROR(VLOOKUP('C-sidumine'!V54,'C-taust'!$B$2:$F$65,4,FALSE),0)*'C-sidumine'!X54*IFERROR(VLOOKUP('C-sidumine'!V54,'C-taust'!$B$2:$F$65,5,FALSE),0)*'C-sidumine'!W54</f>
        <v>0</v>
      </c>
      <c r="AB61" s="278">
        <f>(L61*'C-sidumine'!G54*0.45)+(Q61*0.45)+(V61*0.45)</f>
        <v>0</v>
      </c>
      <c r="AC61" s="278">
        <f t="shared" si="13"/>
        <v>0</v>
      </c>
      <c r="AD61" s="278">
        <f t="shared" si="9"/>
        <v>0</v>
      </c>
    </row>
    <row r="62" spans="2:30" ht="18.5">
      <c r="B62" s="248" t="s">
        <v>1039</v>
      </c>
      <c r="C62" s="223"/>
      <c r="D62" s="223"/>
      <c r="E62" s="223">
        <v>0.25</v>
      </c>
      <c r="F62" s="258">
        <v>0.35</v>
      </c>
      <c r="H62" s="222">
        <f>'C-sidumine'!D55</f>
        <v>0</v>
      </c>
      <c r="I62" s="278">
        <f>'C-sidumine'!F55</f>
        <v>0</v>
      </c>
      <c r="J62" s="223">
        <f>IFERROR(VLOOKUP('C-sidumine'!D55,'C-taust'!$B$2:$F$65,4,FALSE),0)</f>
        <v>0</v>
      </c>
      <c r="K62" s="286">
        <f>IFERROR(VLOOKUP('C-sidumine'!D55,'C-taust'!$B$2:$F$65,2,FALSE),0)</f>
        <v>0</v>
      </c>
      <c r="L62" s="278">
        <f t="shared" si="10"/>
        <v>0</v>
      </c>
      <c r="M62" s="223">
        <f>IFERROR(VLOOKUP('C-sidumine'!D55,'C-taust'!$B$2:$F$65,3,FALSE),0)</f>
        <v>0</v>
      </c>
      <c r="N62" s="279">
        <f t="shared" ref="N62:N63" si="14">L62*M62</f>
        <v>0</v>
      </c>
      <c r="O62" s="285"/>
      <c r="P62" s="285"/>
      <c r="Q62" s="285"/>
      <c r="R62" s="285"/>
      <c r="S62" s="285"/>
      <c r="T62" s="285"/>
      <c r="U62" s="285"/>
      <c r="V62" s="285"/>
      <c r="W62" s="285"/>
      <c r="X62" s="285"/>
      <c r="Y62" s="282">
        <f>IFERROR(VLOOKUP('C-sidumine'!P55,'C-taust'!$B$2:$F$65,4,FALSE),0)*'C-sidumine'!R55*IFERROR(VLOOKUP('C-sidumine'!P55,'C-taust'!$B$2:$F$65,5,FALSE),0)*'C-sidumine'!Q55</f>
        <v>0</v>
      </c>
      <c r="Z62" s="282">
        <f>IFERROR(VLOOKUP('C-sidumine'!S55,'C-taust'!$B$2:$F$65,4,FALSE),0)*'C-sidumine'!U55*IFERROR(VLOOKUP('C-sidumine'!S55,'C-taust'!$B$2:$F$65,5,FALSE),0)*'C-sidumine'!T55</f>
        <v>0</v>
      </c>
      <c r="AA62" s="282">
        <f>IFERROR(VLOOKUP('C-sidumine'!V55,'C-taust'!$B$2:$F$65,4,FALSE),0)*'C-sidumine'!X55*IFERROR(VLOOKUP('C-sidumine'!V55,'C-taust'!$B$2:$F$65,5,FALSE),0)*'C-sidumine'!W55</f>
        <v>0</v>
      </c>
      <c r="AB62" s="278">
        <f>(L62*'C-sidumine'!G55*0.45)+(Q62*0.45)+(V62*0.45)</f>
        <v>0</v>
      </c>
      <c r="AC62" s="278">
        <f t="shared" si="13"/>
        <v>0</v>
      </c>
      <c r="AD62" s="278">
        <f t="shared" si="9"/>
        <v>0</v>
      </c>
    </row>
    <row r="63" spans="2:30" ht="18">
      <c r="B63" s="248" t="s">
        <v>1037</v>
      </c>
      <c r="C63" s="223"/>
      <c r="D63" s="223"/>
      <c r="E63" s="223">
        <v>0.05</v>
      </c>
      <c r="F63" s="258">
        <v>0.4</v>
      </c>
      <c r="H63" s="222">
        <f>'C-sidumine'!D56</f>
        <v>0</v>
      </c>
      <c r="I63" s="278">
        <f>'C-sidumine'!F56</f>
        <v>0</v>
      </c>
      <c r="J63" s="223">
        <f>IFERROR(VLOOKUP('C-sidumine'!D56,'C-taust'!$B$2:$F$65,4,FALSE),0)</f>
        <v>0</v>
      </c>
      <c r="K63" s="286">
        <f>IFERROR(VLOOKUP('C-sidumine'!D56,'C-taust'!$B$2:$F$65,2,FALSE),0)</f>
        <v>0</v>
      </c>
      <c r="L63" s="278">
        <f t="shared" si="10"/>
        <v>0</v>
      </c>
      <c r="M63" s="223">
        <f>IFERROR(VLOOKUP('C-sidumine'!D56,'C-taust'!$B$2:$F$65,3,FALSE),0)</f>
        <v>0</v>
      </c>
      <c r="N63" s="279">
        <f t="shared" si="14"/>
        <v>0</v>
      </c>
      <c r="Y63" s="282">
        <f>IFERROR(VLOOKUP('C-sidumine'!P56,'C-taust'!$B$2:$F$65,4,FALSE),0)*'C-sidumine'!R56*IFERROR(VLOOKUP('C-sidumine'!P56,'C-taust'!$B$2:$F$65,5,FALSE),0)*'C-sidumine'!Q56</f>
        <v>0</v>
      </c>
      <c r="Z63" s="282">
        <f>IFERROR(VLOOKUP('C-sidumine'!S56,'C-taust'!$B$2:$F$65,4,FALSE),0)*'C-sidumine'!U56*IFERROR(VLOOKUP('C-sidumine'!S56,'C-taust'!$B$2:$F$65,5,FALSE),0)*'C-sidumine'!T56</f>
        <v>0</v>
      </c>
      <c r="AA63" s="282">
        <f>IFERROR(VLOOKUP('C-sidumine'!V56,'C-taust'!$B$2:$F$65,4,FALSE),0)*'C-sidumine'!X56*IFERROR(VLOOKUP('C-sidumine'!V56,'C-taust'!$B$2:$F$65,5,FALSE),0)*'C-sidumine'!W56</f>
        <v>0</v>
      </c>
      <c r="AB63" s="278">
        <f>(L63*'C-sidumine'!G56*0.45)+(Q63*0.45)+(V63*0.45)</f>
        <v>0</v>
      </c>
      <c r="AC63" s="278">
        <f>(N63*0.45)+(S63*0.45)+(X63*0.45)</f>
        <v>0</v>
      </c>
      <c r="AD63" s="278">
        <f>SUM(Y63:AA63)</f>
        <v>0</v>
      </c>
    </row>
    <row r="64" spans="2:30" ht="18">
      <c r="B64" s="248" t="s">
        <v>1038</v>
      </c>
      <c r="C64" s="223"/>
      <c r="D64" s="223"/>
      <c r="E64" s="223">
        <v>0.45</v>
      </c>
      <c r="F64" s="258">
        <v>0.14000000000000001</v>
      </c>
      <c r="H64" s="222"/>
      <c r="I64" s="278"/>
      <c r="J64" s="223"/>
      <c r="K64" s="286"/>
      <c r="L64" s="278"/>
      <c r="M64" s="223"/>
      <c r="N64" s="279"/>
    </row>
    <row r="65" spans="2:88" ht="18">
      <c r="B65" s="248" t="s">
        <v>1150</v>
      </c>
      <c r="C65" s="223">
        <v>0</v>
      </c>
      <c r="D65" s="223">
        <v>0</v>
      </c>
      <c r="E65" s="223">
        <v>0</v>
      </c>
      <c r="F65" s="258">
        <v>0</v>
      </c>
      <c r="H65" s="222"/>
      <c r="I65" s="278"/>
      <c r="J65" s="223"/>
      <c r="K65" s="286"/>
      <c r="L65" s="278"/>
      <c r="M65" s="223"/>
      <c r="N65" s="279"/>
    </row>
    <row r="66" spans="2:88" ht="18">
      <c r="B66" s="223"/>
      <c r="C66" s="223"/>
      <c r="D66" s="223"/>
      <c r="E66" s="223"/>
      <c r="F66" s="258"/>
      <c r="H66" s="222"/>
      <c r="I66" s="278"/>
      <c r="J66" s="223"/>
      <c r="K66" s="286"/>
      <c r="L66" s="278"/>
      <c r="M66" s="223"/>
      <c r="N66" s="279"/>
    </row>
    <row r="67" spans="2:88" ht="17.5">
      <c r="B67" s="223"/>
      <c r="C67" s="223"/>
      <c r="D67" s="223"/>
      <c r="E67" s="223"/>
      <c r="F67" s="258"/>
    </row>
    <row r="68" spans="2:88" ht="17.5">
      <c r="B68" s="223"/>
      <c r="C68" s="223"/>
      <c r="D68" s="223"/>
      <c r="E68" s="223"/>
      <c r="F68" s="258"/>
    </row>
    <row r="69" spans="2:88" ht="17.5">
      <c r="B69" s="223"/>
      <c r="C69" s="223"/>
      <c r="D69" s="223"/>
      <c r="E69" s="223"/>
      <c r="F69" s="258"/>
    </row>
    <row r="70" spans="2:88" ht="17.5">
      <c r="B70" s="223"/>
      <c r="C70" s="223"/>
      <c r="D70" s="223"/>
      <c r="E70" s="223"/>
      <c r="F70" s="258"/>
    </row>
    <row r="71" spans="2:88" ht="17.5">
      <c r="B71" s="223">
        <v>1</v>
      </c>
      <c r="C71" s="223"/>
      <c r="D71" s="223"/>
      <c r="E71" s="223"/>
      <c r="F71" s="258"/>
    </row>
    <row r="72" spans="2:88" ht="17.5">
      <c r="B72" s="223">
        <v>0.75</v>
      </c>
      <c r="C72" s="223"/>
      <c r="D72" s="223"/>
      <c r="E72" s="223"/>
      <c r="F72" s="258"/>
    </row>
    <row r="73" spans="2:88" ht="17.5">
      <c r="B73" s="223">
        <v>0.5</v>
      </c>
      <c r="C73" s="223"/>
      <c r="D73" s="223"/>
      <c r="E73" s="223"/>
      <c r="F73" s="258"/>
    </row>
    <row r="74" spans="2:88" ht="17.5">
      <c r="B74" s="223">
        <v>0.25</v>
      </c>
      <c r="C74" s="223"/>
      <c r="D74" s="223"/>
      <c r="E74" s="223"/>
      <c r="F74" s="258"/>
    </row>
    <row r="75" spans="2:88" ht="17.5">
      <c r="B75" s="223">
        <v>0.1</v>
      </c>
      <c r="C75" s="223"/>
      <c r="D75" s="223"/>
      <c r="E75" s="223"/>
      <c r="F75" s="258"/>
    </row>
    <row r="76" spans="2:88" ht="18" thickBot="1">
      <c r="B76" s="223">
        <v>0</v>
      </c>
      <c r="C76" s="223"/>
      <c r="D76" s="223"/>
      <c r="E76" s="223"/>
      <c r="F76" s="258"/>
    </row>
    <row r="77" spans="2:88" ht="35">
      <c r="B77" s="298"/>
      <c r="C77" s="317" t="s">
        <v>1161</v>
      </c>
      <c r="D77" s="304"/>
      <c r="E77" s="304">
        <v>0.155</v>
      </c>
      <c r="F77" s="1357" t="s">
        <v>1162</v>
      </c>
      <c r="G77" s="223"/>
      <c r="H77" s="223"/>
      <c r="I77" s="258"/>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row>
    <row r="78" spans="2:88" ht="35">
      <c r="B78" s="295"/>
      <c r="C78" s="311" t="s">
        <v>1163</v>
      </c>
      <c r="D78" s="223"/>
      <c r="E78" s="223">
        <v>0.39500000000000002</v>
      </c>
      <c r="F78" s="1355"/>
      <c r="G78" s="223"/>
      <c r="H78" s="223"/>
      <c r="I78" s="258"/>
      <c r="J78" s="289"/>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row>
    <row r="79" spans="2:88" ht="17.5">
      <c r="B79" s="295"/>
      <c r="C79" s="312" t="s">
        <v>1164</v>
      </c>
      <c r="D79" s="223"/>
      <c r="E79" s="223">
        <v>0.26600000000000001</v>
      </c>
      <c r="F79" s="1355"/>
      <c r="G79" s="223"/>
      <c r="H79" s="223"/>
      <c r="I79" s="258"/>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3"/>
      <c r="CJ79" s="223"/>
    </row>
    <row r="80" spans="2:88" ht="17.5">
      <c r="B80" s="295"/>
      <c r="C80" s="223"/>
      <c r="D80" s="223"/>
      <c r="E80" s="223"/>
      <c r="F80" s="294"/>
      <c r="G80" s="223"/>
      <c r="H80" s="223"/>
      <c r="I80" s="258"/>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3"/>
      <c r="CJ80" s="223"/>
    </row>
    <row r="81" spans="2:88" ht="17.5">
      <c r="B81" s="1365" t="s">
        <v>1165</v>
      </c>
      <c r="C81" s="313" t="s">
        <v>1166</v>
      </c>
      <c r="D81" s="223"/>
      <c r="E81" s="278">
        <v>0.75</v>
      </c>
      <c r="F81" s="1355" t="s">
        <v>1167</v>
      </c>
      <c r="G81" s="223"/>
      <c r="H81" s="223"/>
      <c r="I81" s="258"/>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3"/>
      <c r="CJ81" s="223"/>
    </row>
    <row r="82" spans="2:88" ht="17.5">
      <c r="B82" s="1365"/>
      <c r="C82" s="313" t="s">
        <v>1168</v>
      </c>
      <c r="D82" s="223"/>
      <c r="E82" s="278">
        <v>0.96</v>
      </c>
      <c r="F82" s="1355"/>
      <c r="G82" s="223"/>
      <c r="H82" s="223"/>
      <c r="I82" s="258"/>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3"/>
      <c r="CJ82" s="223"/>
    </row>
    <row r="83" spans="2:88" ht="35">
      <c r="B83" s="1365"/>
      <c r="C83" s="314" t="s">
        <v>1169</v>
      </c>
      <c r="D83" s="223"/>
      <c r="E83" s="278">
        <v>1</v>
      </c>
      <c r="F83" s="1355"/>
      <c r="G83" s="223"/>
      <c r="H83" s="223"/>
      <c r="I83" s="258"/>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row>
    <row r="84" spans="2:88" ht="17.5">
      <c r="B84" s="1365"/>
      <c r="C84" s="313" t="s">
        <v>1170</v>
      </c>
      <c r="D84" s="223"/>
      <c r="E84" s="278">
        <v>0.98</v>
      </c>
      <c r="F84" s="1355"/>
      <c r="G84" s="223"/>
      <c r="H84" s="223"/>
      <c r="I84" s="258"/>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row>
    <row r="85" spans="2:88" ht="17.5">
      <c r="B85" s="1365"/>
      <c r="C85" s="313" t="s">
        <v>1171</v>
      </c>
      <c r="D85" s="223"/>
      <c r="E85" s="278">
        <v>0.95</v>
      </c>
      <c r="F85" s="1355"/>
      <c r="G85" s="223"/>
      <c r="H85" s="223"/>
      <c r="I85" s="258"/>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row>
    <row r="86" spans="2:88" ht="17.5">
      <c r="B86" s="295"/>
      <c r="C86" s="223"/>
      <c r="D86" s="223"/>
      <c r="E86" s="223"/>
      <c r="F86" s="294"/>
      <c r="G86" s="223"/>
      <c r="H86" s="223"/>
      <c r="I86" s="258"/>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row>
    <row r="87" spans="2:88" ht="87.5">
      <c r="B87" s="306" t="s">
        <v>1172</v>
      </c>
      <c r="C87" s="315" t="s">
        <v>1173</v>
      </c>
      <c r="D87" s="307"/>
      <c r="E87" s="223">
        <v>1.25</v>
      </c>
      <c r="F87" s="308" t="s">
        <v>1174</v>
      </c>
      <c r="G87" s="223"/>
      <c r="H87" s="223"/>
      <c r="I87" s="258"/>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3"/>
      <c r="CJ87" s="223"/>
    </row>
    <row r="88" spans="2:88" ht="17.5">
      <c r="B88" s="1365" t="s">
        <v>1175</v>
      </c>
      <c r="C88" s="309" t="s">
        <v>1176</v>
      </c>
      <c r="D88" s="223"/>
      <c r="E88" s="278">
        <f>E87</f>
        <v>1.25</v>
      </c>
      <c r="F88" s="294"/>
      <c r="G88" s="223"/>
      <c r="H88" s="223"/>
      <c r="I88" s="291"/>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3"/>
      <c r="CJ88" s="223"/>
    </row>
    <row r="89" spans="2:88" ht="17.5">
      <c r="B89" s="1365"/>
      <c r="C89" s="309" t="s">
        <v>1177</v>
      </c>
      <c r="D89" s="223"/>
      <c r="E89" s="278">
        <f>E88</f>
        <v>1.25</v>
      </c>
      <c r="F89" s="294"/>
      <c r="G89" s="223"/>
      <c r="H89" s="223"/>
      <c r="I89" s="291"/>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3"/>
      <c r="CJ89" s="223"/>
    </row>
    <row r="90" spans="2:88" ht="17.5">
      <c r="B90" s="1365"/>
      <c r="C90" s="309" t="s">
        <v>1178</v>
      </c>
      <c r="D90" s="223"/>
      <c r="E90" s="278">
        <f t="shared" ref="E90:E92" si="15">E89</f>
        <v>1.25</v>
      </c>
      <c r="F90" s="294"/>
      <c r="G90" s="223"/>
      <c r="H90" s="223"/>
      <c r="I90" s="291"/>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3"/>
      <c r="CJ90" s="223"/>
    </row>
    <row r="91" spans="2:88" ht="17.5">
      <c r="B91" s="1365"/>
      <c r="C91" s="309" t="s">
        <v>1179</v>
      </c>
      <c r="D91" s="223"/>
      <c r="E91" s="278">
        <f t="shared" si="15"/>
        <v>1.25</v>
      </c>
      <c r="F91" s="294"/>
      <c r="G91" s="223"/>
      <c r="H91" s="223"/>
      <c r="I91" s="291"/>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3"/>
      <c r="CJ91" s="223"/>
    </row>
    <row r="92" spans="2:88" ht="17.5">
      <c r="B92" s="1365"/>
      <c r="C92" s="309" t="s">
        <v>1180</v>
      </c>
      <c r="D92" s="223"/>
      <c r="E92" s="278">
        <f t="shared" si="15"/>
        <v>1.25</v>
      </c>
      <c r="F92" s="294"/>
      <c r="G92" s="223"/>
      <c r="H92" s="223"/>
      <c r="I92" s="291"/>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3"/>
      <c r="CJ92" s="223"/>
    </row>
    <row r="93" spans="2:88" ht="17.5">
      <c r="B93" s="295"/>
      <c r="C93" s="223"/>
      <c r="D93" s="223"/>
      <c r="E93" s="223"/>
      <c r="F93" s="294"/>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3"/>
      <c r="CG93" s="223"/>
      <c r="CH93" s="223"/>
      <c r="CI93" s="223"/>
      <c r="CJ93" s="223"/>
    </row>
    <row r="94" spans="2:88" ht="35">
      <c r="B94" s="1365"/>
      <c r="C94" s="316" t="s">
        <v>1181</v>
      </c>
      <c r="D94" s="223"/>
      <c r="E94" s="223"/>
      <c r="F94" s="294"/>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3"/>
      <c r="CG94" s="223"/>
      <c r="CH94" s="223"/>
      <c r="CI94" s="223"/>
      <c r="CJ94" s="223"/>
    </row>
    <row r="95" spans="2:88" ht="87.5">
      <c r="B95" s="1365"/>
      <c r="C95" s="288" t="s">
        <v>1182</v>
      </c>
      <c r="D95" s="223"/>
      <c r="E95" s="223">
        <v>1.05</v>
      </c>
      <c r="F95" s="308" t="s">
        <v>1183</v>
      </c>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row>
    <row r="96" spans="2:88" ht="17.5">
      <c r="B96" s="1365"/>
      <c r="C96" s="288" t="s">
        <v>37</v>
      </c>
      <c r="D96" s="223"/>
      <c r="E96" s="223">
        <v>1</v>
      </c>
      <c r="F96" s="294"/>
      <c r="G96" s="223"/>
      <c r="H96" s="223"/>
      <c r="I96" s="223"/>
      <c r="J96" s="223"/>
      <c r="K96" s="223"/>
      <c r="L96" s="223"/>
      <c r="M96" s="223"/>
      <c r="N96" s="223"/>
      <c r="O96" s="223"/>
      <c r="P96" s="223"/>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3"/>
      <c r="CG96" s="223"/>
      <c r="CH96" s="223"/>
      <c r="CI96" s="223"/>
      <c r="CJ96" s="223"/>
    </row>
    <row r="97" spans="2:88" ht="18" thickBot="1">
      <c r="B97" s="1353" t="s">
        <v>1184</v>
      </c>
      <c r="C97" s="309"/>
      <c r="D97" s="223"/>
      <c r="E97" s="223"/>
      <c r="F97" s="294"/>
      <c r="G97" s="223"/>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3"/>
      <c r="CG97" s="223"/>
      <c r="CH97" s="223"/>
      <c r="CI97" s="223"/>
      <c r="CJ97" s="223"/>
    </row>
    <row r="98" spans="2:88" ht="17.5">
      <c r="B98" s="1353"/>
      <c r="C98" s="309" t="s">
        <v>1185</v>
      </c>
      <c r="D98" s="223"/>
      <c r="E98" s="223">
        <v>0.75600000000000001</v>
      </c>
      <c r="F98" s="1355" t="s">
        <v>1186</v>
      </c>
      <c r="G98" s="298">
        <v>0.8</v>
      </c>
      <c r="H98" s="1357" t="s">
        <v>1187</v>
      </c>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3"/>
      <c r="CG98" s="223"/>
      <c r="CH98" s="223"/>
      <c r="CI98" s="223"/>
      <c r="CJ98" s="223"/>
    </row>
    <row r="99" spans="2:88" ht="18" thickBot="1">
      <c r="B99" s="1354"/>
      <c r="C99" s="318" t="s">
        <v>1188</v>
      </c>
      <c r="D99" s="224"/>
      <c r="E99" s="310">
        <v>5.0000000000000001E-3</v>
      </c>
      <c r="F99" s="1356"/>
      <c r="G99" s="297">
        <v>7.0000000000000001E-3</v>
      </c>
      <c r="H99" s="1356"/>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3"/>
      <c r="BW99" s="223"/>
      <c r="BX99" s="223"/>
      <c r="BY99" s="223"/>
      <c r="BZ99" s="223"/>
      <c r="CA99" s="223"/>
      <c r="CB99" s="223"/>
      <c r="CC99" s="223"/>
      <c r="CD99" s="223"/>
      <c r="CE99" s="223"/>
      <c r="CF99" s="223"/>
      <c r="CG99" s="223"/>
      <c r="CH99" s="223"/>
      <c r="CI99" s="223"/>
      <c r="CJ99" s="223"/>
    </row>
    <row r="100" spans="2:88" ht="17.5">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3"/>
      <c r="CG100" s="223"/>
      <c r="CH100" s="223"/>
      <c r="CI100" s="223"/>
      <c r="CJ100" s="223"/>
    </row>
    <row r="101" spans="2:88" ht="17.5">
      <c r="B101" s="223"/>
      <c r="C101" s="223"/>
      <c r="D101" s="223"/>
      <c r="E101" s="223"/>
      <c r="F101" s="223"/>
      <c r="G101" s="223"/>
      <c r="H101" s="223"/>
      <c r="I101" s="223"/>
      <c r="J101" s="223"/>
      <c r="K101" s="223"/>
      <c r="L101" s="223"/>
      <c r="M101" s="223"/>
      <c r="N101" s="223"/>
      <c r="O101" s="223"/>
      <c r="P101" s="223"/>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3"/>
      <c r="CG101" s="223"/>
      <c r="CH101" s="223"/>
      <c r="CI101" s="223"/>
      <c r="CJ101" s="223"/>
    </row>
    <row r="102" spans="2:88" ht="17.5">
      <c r="B102" s="223"/>
      <c r="C102" s="223"/>
      <c r="D102" s="223"/>
      <c r="E102" s="223"/>
      <c r="F102" s="223"/>
      <c r="G102" s="223"/>
      <c r="H102" s="223"/>
      <c r="I102" s="223"/>
      <c r="J102" s="223"/>
      <c r="K102" s="223"/>
      <c r="L102" s="223"/>
      <c r="M102" s="223"/>
      <c r="N102" s="223"/>
      <c r="O102" s="223"/>
      <c r="P102" s="223"/>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3"/>
      <c r="CG102" s="223"/>
      <c r="CH102" s="223"/>
      <c r="CI102" s="223"/>
      <c r="CJ102" s="223"/>
    </row>
    <row r="103" spans="2:88" ht="17.5">
      <c r="B103" s="223"/>
      <c r="C103" s="223"/>
      <c r="D103" s="223"/>
      <c r="E103" s="223"/>
      <c r="F103" s="223"/>
      <c r="G103" s="223"/>
      <c r="H103" s="223"/>
      <c r="I103" s="223"/>
      <c r="J103" s="223"/>
      <c r="K103" s="223"/>
      <c r="L103" s="223"/>
      <c r="M103" s="223"/>
      <c r="N103" s="223"/>
      <c r="O103" s="223"/>
      <c r="P103" s="223"/>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3"/>
      <c r="CG103" s="223"/>
      <c r="CH103" s="223"/>
      <c r="CI103" s="223"/>
      <c r="CJ103" s="223"/>
    </row>
    <row r="104" spans="2:88" ht="18">
      <c r="B104" s="1108"/>
      <c r="C104" s="1107" t="s">
        <v>132</v>
      </c>
      <c r="D104" s="1363" t="s">
        <v>1189</v>
      </c>
      <c r="E104" s="1363"/>
      <c r="F104" s="1363"/>
      <c r="G104" s="1363"/>
      <c r="H104" s="1363"/>
      <c r="I104" s="1363"/>
      <c r="J104" s="1363"/>
      <c r="K104" s="1363"/>
      <c r="L104" s="1363"/>
      <c r="M104" s="1363"/>
      <c r="N104" s="1363"/>
      <c r="O104" s="1363"/>
      <c r="P104" s="1363"/>
      <c r="Q104" s="1363"/>
      <c r="R104" s="1364"/>
      <c r="S104" s="1096"/>
      <c r="T104" s="1361" t="s">
        <v>1190</v>
      </c>
      <c r="U104" s="1361"/>
      <c r="V104" s="1361"/>
      <c r="W104" s="1361"/>
      <c r="X104" s="1361"/>
      <c r="Y104" s="1361"/>
      <c r="Z104" s="1361"/>
      <c r="AA104" s="1361"/>
      <c r="AB104" s="1361"/>
      <c r="AC104" s="1361"/>
      <c r="AD104" s="1361"/>
      <c r="AE104" s="1361"/>
      <c r="AF104" s="1361"/>
      <c r="AG104" s="1361"/>
      <c r="AH104" s="1361"/>
      <c r="AI104" s="1362"/>
      <c r="AJ104" s="1095"/>
      <c r="AK104" s="1361" t="s">
        <v>1191</v>
      </c>
      <c r="AL104" s="1361"/>
      <c r="AM104" s="1361"/>
      <c r="AN104" s="1361"/>
      <c r="AO104" s="1361"/>
      <c r="AP104" s="1361"/>
      <c r="AQ104" s="1361"/>
      <c r="AR104" s="1361"/>
      <c r="AS104" s="1361"/>
      <c r="AT104" s="1361"/>
      <c r="AU104" s="1361"/>
      <c r="AV104" s="1361"/>
      <c r="AW104" s="1361"/>
      <c r="AX104" s="1361"/>
      <c r="AY104" s="1361"/>
      <c r="AZ104" s="1362"/>
      <c r="BA104" s="292"/>
      <c r="BB104" s="1361" t="s">
        <v>13</v>
      </c>
      <c r="BC104" s="1361"/>
      <c r="BD104" s="1361"/>
      <c r="BE104" s="1361"/>
      <c r="BF104" s="1361"/>
      <c r="BG104" s="1361"/>
      <c r="BH104" s="1361"/>
      <c r="BI104" s="1361"/>
      <c r="BJ104" s="1361"/>
      <c r="BK104" s="1361"/>
      <c r="BL104" s="1361"/>
      <c r="BM104" s="1361"/>
      <c r="BN104" s="1361"/>
      <c r="BO104" s="1361"/>
      <c r="BP104" s="1361"/>
      <c r="BQ104" s="1361"/>
      <c r="BR104" s="1361"/>
      <c r="BS104" s="1358" t="s">
        <v>14</v>
      </c>
      <c r="BT104" s="1359"/>
      <c r="BU104" s="1359"/>
      <c r="BV104" s="1359"/>
      <c r="BW104" s="1359"/>
      <c r="BX104" s="1359"/>
      <c r="BY104" s="1359"/>
      <c r="BZ104" s="1359"/>
      <c r="CA104" s="1359"/>
      <c r="CB104" s="1359"/>
      <c r="CC104" s="1359"/>
      <c r="CD104" s="1359"/>
      <c r="CE104" s="1359"/>
      <c r="CF104" s="1359"/>
      <c r="CG104" s="1359"/>
      <c r="CH104" s="1359"/>
      <c r="CI104" s="1359"/>
      <c r="CJ104" s="1360"/>
    </row>
    <row r="105" spans="2:88" ht="36">
      <c r="B105" s="222" t="s">
        <v>1192</v>
      </c>
      <c r="C105" s="222"/>
      <c r="D105" s="222" t="s">
        <v>1193</v>
      </c>
      <c r="E105" s="222" t="s">
        <v>1194</v>
      </c>
      <c r="F105" s="222" t="s">
        <v>1195</v>
      </c>
      <c r="G105" s="222" t="s">
        <v>1196</v>
      </c>
      <c r="H105" s="222" t="s">
        <v>1197</v>
      </c>
      <c r="I105" s="222" t="s">
        <v>1198</v>
      </c>
      <c r="J105" s="222" t="s">
        <v>1199</v>
      </c>
      <c r="K105" s="222" t="s">
        <v>1200</v>
      </c>
      <c r="L105" s="222" t="s">
        <v>1201</v>
      </c>
      <c r="M105" s="222" t="s">
        <v>1202</v>
      </c>
      <c r="N105" s="222" t="s">
        <v>1203</v>
      </c>
      <c r="O105" s="1366" t="s">
        <v>1204</v>
      </c>
      <c r="P105" s="1366"/>
      <c r="Q105" s="1366"/>
      <c r="R105" s="1099" t="s">
        <v>1205</v>
      </c>
      <c r="S105" s="222"/>
      <c r="T105" s="222" t="s">
        <v>1192</v>
      </c>
      <c r="U105" s="222" t="s">
        <v>1193</v>
      </c>
      <c r="V105" s="222" t="s">
        <v>1194</v>
      </c>
      <c r="W105" s="247" t="s">
        <v>1195</v>
      </c>
      <c r="X105" s="247" t="s">
        <v>1196</v>
      </c>
      <c r="Y105" s="247" t="s">
        <v>1197</v>
      </c>
      <c r="Z105" s="222" t="s">
        <v>1198</v>
      </c>
      <c r="AA105" s="222" t="s">
        <v>1199</v>
      </c>
      <c r="AB105" s="222" t="s">
        <v>1200</v>
      </c>
      <c r="AC105" s="222" t="s">
        <v>1201</v>
      </c>
      <c r="AD105" s="222" t="s">
        <v>1202</v>
      </c>
      <c r="AE105" s="222" t="s">
        <v>1203</v>
      </c>
      <c r="AF105" s="1366" t="s">
        <v>1204</v>
      </c>
      <c r="AG105" s="1366"/>
      <c r="AH105" s="1366"/>
      <c r="AI105" s="1099" t="s">
        <v>1205</v>
      </c>
      <c r="AJ105" s="222"/>
      <c r="AK105" s="222" t="s">
        <v>1192</v>
      </c>
      <c r="AL105" s="222" t="s">
        <v>1193</v>
      </c>
      <c r="AM105" s="222" t="s">
        <v>1194</v>
      </c>
      <c r="AN105" s="222" t="s">
        <v>1195</v>
      </c>
      <c r="AO105" s="222" t="s">
        <v>1196</v>
      </c>
      <c r="AP105" s="222" t="s">
        <v>1197</v>
      </c>
      <c r="AQ105" s="222" t="s">
        <v>1198</v>
      </c>
      <c r="AR105" s="222" t="s">
        <v>1199</v>
      </c>
      <c r="AS105" s="222" t="s">
        <v>1200</v>
      </c>
      <c r="AT105" s="222" t="s">
        <v>1201</v>
      </c>
      <c r="AU105" s="222" t="s">
        <v>1202</v>
      </c>
      <c r="AV105" s="222" t="s">
        <v>1203</v>
      </c>
      <c r="AW105" s="1366" t="s">
        <v>1204</v>
      </c>
      <c r="AX105" s="1366"/>
      <c r="AY105" s="1366"/>
      <c r="AZ105" s="1099" t="s">
        <v>1205</v>
      </c>
      <c r="BA105" s="222"/>
      <c r="BB105" s="222" t="s">
        <v>1192</v>
      </c>
      <c r="BC105" s="222" t="s">
        <v>1193</v>
      </c>
      <c r="BD105" s="222" t="s">
        <v>1194</v>
      </c>
      <c r="BE105" s="222" t="s">
        <v>1195</v>
      </c>
      <c r="BF105" s="222" t="s">
        <v>1196</v>
      </c>
      <c r="BG105" s="222" t="s">
        <v>1197</v>
      </c>
      <c r="BH105" s="222" t="s">
        <v>1198</v>
      </c>
      <c r="BI105" s="222" t="s">
        <v>1199</v>
      </c>
      <c r="BJ105" s="222" t="s">
        <v>1200</v>
      </c>
      <c r="BK105" s="222" t="s">
        <v>1201</v>
      </c>
      <c r="BL105" s="222" t="s">
        <v>1202</v>
      </c>
      <c r="BM105" s="222" t="s">
        <v>1203</v>
      </c>
      <c r="BN105" s="1366" t="s">
        <v>1204</v>
      </c>
      <c r="BO105" s="1366"/>
      <c r="BP105" s="1366"/>
      <c r="BQ105" s="222" t="s">
        <v>1205</v>
      </c>
      <c r="BR105" s="222"/>
      <c r="BS105" s="1098" t="s">
        <v>1192</v>
      </c>
      <c r="BT105" s="222" t="s">
        <v>1193</v>
      </c>
      <c r="BU105" s="222" t="s">
        <v>1194</v>
      </c>
      <c r="BV105" s="222" t="s">
        <v>1195</v>
      </c>
      <c r="BW105" s="222" t="s">
        <v>1196</v>
      </c>
      <c r="BX105" s="222" t="s">
        <v>1197</v>
      </c>
      <c r="BY105" s="222" t="s">
        <v>1198</v>
      </c>
      <c r="BZ105" s="222" t="s">
        <v>1199</v>
      </c>
      <c r="CA105" s="222" t="s">
        <v>1200</v>
      </c>
      <c r="CB105" s="222" t="s">
        <v>1201</v>
      </c>
      <c r="CC105" s="222" t="s">
        <v>1202</v>
      </c>
      <c r="CD105" s="222" t="s">
        <v>1203</v>
      </c>
      <c r="CE105" s="1366" t="s">
        <v>1204</v>
      </c>
      <c r="CF105" s="1366"/>
      <c r="CG105" s="1366"/>
      <c r="CH105" s="222" t="s">
        <v>1205</v>
      </c>
      <c r="CI105" s="222"/>
      <c r="CJ105" s="1099"/>
    </row>
    <row r="106" spans="2:88" ht="17.5">
      <c r="B106" s="223">
        <f>IFERROR(VLOOKUP('C-sidumine'!Z14,'C-taust'!$C$95:$E$96, 3,FALSE)*$E$81,0)</f>
        <v>0.75</v>
      </c>
      <c r="C106" s="223" t="str">
        <f>'C-sidumine'!D14</f>
        <v>Talinisu</v>
      </c>
      <c r="D106" s="1097">
        <f t="shared" ref="D106:D142" si="16">$O$3*0.07</f>
        <v>4.6020519999999996</v>
      </c>
      <c r="E106" s="223">
        <f t="shared" ref="E106:E142" si="17">$O$3*0.93</f>
        <v>61.141547999999993</v>
      </c>
      <c r="F106" s="278">
        <f>AB20</f>
        <v>0</v>
      </c>
      <c r="G106" s="278">
        <f>AC20</f>
        <v>0</v>
      </c>
      <c r="H106" s="278">
        <f>AD20</f>
        <v>0</v>
      </c>
      <c r="I106" s="293">
        <f>($E$77*$B106)*(($E$98*$E$88*$D106)-$F106)/(($E$99-$E$98)*$E$88)</f>
        <v>-0.53855038617842876</v>
      </c>
      <c r="J106" s="293">
        <f>($E$78*$B106)*(($E$98*$E$88*$D106)-$G106)/(($E$99-$E$98)*$E$88)</f>
        <v>-1.3724348550998668</v>
      </c>
      <c r="K106" s="293">
        <f>($E$79*$B106)*(($E$98*$E$88*$D106)-$H106)/(($E$99-$E$98)*$E$88)</f>
        <v>-0.92422195305459387</v>
      </c>
      <c r="L106" s="278">
        <f>F106/($E$98*$E$88)</f>
        <v>0</v>
      </c>
      <c r="M106" s="278">
        <f>G106/($E$98*$E$88)</f>
        <v>0</v>
      </c>
      <c r="N106" s="278">
        <f>H106/($E$98*$E$88)</f>
        <v>0</v>
      </c>
      <c r="O106" s="293">
        <f>$E$77*$B106*(F106)</f>
        <v>0</v>
      </c>
      <c r="P106" s="293">
        <f>$E$78*$B106*(G106)</f>
        <v>0</v>
      </c>
      <c r="Q106" s="293">
        <f>$E$79*$B106*(H106)</f>
        <v>0</v>
      </c>
      <c r="R106" s="1104">
        <f>SUM(O106:Q106) /($E$99*$E$88)</f>
        <v>0</v>
      </c>
      <c r="S106" s="223"/>
      <c r="T106" s="223">
        <f>IFERROR(VLOOKUP('C-sidumine'!Z14,'C-taust'!$C$95:$E$96, 3,FALSE)*$E$82,0)</f>
        <v>0.96</v>
      </c>
      <c r="U106" s="305">
        <f t="shared" ref="U106:U142" si="18">$O$4*0.07</f>
        <v>4.6020519999999996</v>
      </c>
      <c r="V106" s="293">
        <f t="shared" ref="V106:V142" si="19">$O$4*0.93</f>
        <v>61.141547999999993</v>
      </c>
      <c r="W106" s="278">
        <f t="shared" ref="W106:W125" si="20">AB20</f>
        <v>0</v>
      </c>
      <c r="X106" s="278">
        <f t="shared" ref="X106:X125" si="21">AC20</f>
        <v>0</v>
      </c>
      <c r="Y106" s="278">
        <f t="shared" ref="Y106:Y125" si="22">AD20</f>
        <v>0</v>
      </c>
      <c r="Z106" s="293">
        <f>($E$77*T106)*(($E$98*$E$89*U106)-$W106)/(($E$99-$E$98)*$E$89)</f>
        <v>-0.68934449430838873</v>
      </c>
      <c r="AA106" s="293">
        <f>($E$78*T106)*(($E$98*$E$89*U106)-$X106)/(($E$99-$E$98)*$E$89)</f>
        <v>-1.7567166145278295</v>
      </c>
      <c r="AB106" s="293">
        <f>($E$79*T106)*(($E$98*$E$89*U106)-$Y106)/(($E$99-$E$98)*$E$89)</f>
        <v>-1.1830040999098801</v>
      </c>
      <c r="AC106" s="278">
        <f>W106/($E$98*$E$89)</f>
        <v>0</v>
      </c>
      <c r="AD106" s="278">
        <f>X106/($E$98*$E$89)</f>
        <v>0</v>
      </c>
      <c r="AE106" s="278">
        <f>Y106/($E$98*$E$89)</f>
        <v>0</v>
      </c>
      <c r="AF106" s="293">
        <f>$E$77*$T106*(W106)</f>
        <v>0</v>
      </c>
      <c r="AG106" s="293">
        <f>$E$78*$T106*(X106)</f>
        <v>0</v>
      </c>
      <c r="AH106" s="293">
        <f>$E$79*$T106*(Y106)</f>
        <v>0</v>
      </c>
      <c r="AI106" s="1104">
        <f>SUM(AF106:AH106) /($E$99*$E$89)</f>
        <v>0</v>
      </c>
      <c r="AJ106" s="223"/>
      <c r="AK106" s="223">
        <f>IFERROR(VLOOKUP('C-sidumine'!Z14,'C-taust'!$C$95:$E$96, 3,FALSE)*$E$83,0)</f>
        <v>1</v>
      </c>
      <c r="AL106" s="305">
        <f>AVERAGE($O$5,$O$6)*0.07</f>
        <v>4.5655329999999994</v>
      </c>
      <c r="AM106" s="293">
        <f>AVERAGE($O$5,$O$6)*0.93</f>
        <v>60.656366999999996</v>
      </c>
      <c r="AN106" s="278">
        <f t="shared" ref="AN106:AN125" si="23">$AB20</f>
        <v>0</v>
      </c>
      <c r="AO106" s="278">
        <f t="shared" ref="AO106:AO125" si="24">$AC20</f>
        <v>0</v>
      </c>
      <c r="AP106" s="278">
        <f t="shared" ref="AP106:AP125" si="25">$AD20</f>
        <v>0</v>
      </c>
      <c r="AQ106" s="293">
        <f>($E$77*AK106)*(($E$98*$E$90*AL106)-AN106)/(($E$99-$E$98)*$E$90)</f>
        <v>-0.71236905051930755</v>
      </c>
      <c r="AR106" s="293">
        <f>($E$78*AK106)*(($E$98*$E$90*AL106)-AO106)/(($E$99-$E$98)*$E$90)</f>
        <v>-1.815392096484687</v>
      </c>
      <c r="AS106" s="293">
        <f>($E$79*AK106)*(($E$98*$E$90*AL106)-AP106)/(($E$99-$E$98)*$E$90)</f>
        <v>-1.2225172092782954</v>
      </c>
      <c r="AT106" s="278">
        <f>AN106/($E$98*$E$90)</f>
        <v>0</v>
      </c>
      <c r="AU106" s="278">
        <f>AO106/($E$98*$E$90)</f>
        <v>0</v>
      </c>
      <c r="AV106" s="278">
        <f>AP106/($E$98*$E$90)</f>
        <v>0</v>
      </c>
      <c r="AW106" s="293">
        <f>$E$77*AK106*(AN106)</f>
        <v>0</v>
      </c>
      <c r="AX106" s="293">
        <f>$E$78*$AK106*(AO106)</f>
        <v>0</v>
      </c>
      <c r="AY106" s="293">
        <f>$E$79*AK106*(AP106)</f>
        <v>0</v>
      </c>
      <c r="AZ106" s="1104">
        <f>SUM(AW106:AY106) /($E$99*$E$89)</f>
        <v>0</v>
      </c>
      <c r="BA106" s="223"/>
      <c r="BB106" s="223">
        <f>IFERROR(VLOOKUP('C-sidumine'!Z14,'C-taust'!$C$95:$E$96, 3,FALSE)*$E$84,0)</f>
        <v>0.98</v>
      </c>
      <c r="BC106" s="305">
        <f t="shared" ref="BC106:BC142" si="26">$O$7*0.07</f>
        <v>4.4026780000000008</v>
      </c>
      <c r="BD106" s="293">
        <f t="shared" ref="BD106:BD142" si="27">$O$7*0.93</f>
        <v>58.492722000000008</v>
      </c>
      <c r="BE106" s="278">
        <f t="shared" ref="BE106:BE125" si="28">$AB20</f>
        <v>0</v>
      </c>
      <c r="BF106" s="278">
        <f t="shared" ref="BF106:BF125" si="29">$AC20</f>
        <v>0</v>
      </c>
      <c r="BG106" s="278">
        <f t="shared" ref="BG106:BG125" si="30">$AD20</f>
        <v>0</v>
      </c>
      <c r="BH106" s="293">
        <f>($E$77*BB106)*(($E$98*$E$91*BC106)-BE106)/(($E$99-$E$98)*$E$91)</f>
        <v>-0.67321929677656478</v>
      </c>
      <c r="BI106" s="293">
        <f>($E$78*BB106)*(($E$98*$E$91*BC106)-BF106)/(($E$99-$E$98)*$E$91)</f>
        <v>-1.715623369204794</v>
      </c>
      <c r="BJ106" s="293">
        <f>($E$79*BB106)*(($E$98*$E$91*BC106)-BG106)/(($E$99-$E$98)*$E$91)</f>
        <v>-1.1553311802746209</v>
      </c>
      <c r="BK106" s="278">
        <f>BE106/($E$98*$E$91)</f>
        <v>0</v>
      </c>
      <c r="BL106" s="278">
        <f>BF106/($E$98*$E$91)</f>
        <v>0</v>
      </c>
      <c r="BM106" s="278">
        <f>BG106/($E$98*$E$91)</f>
        <v>0</v>
      </c>
      <c r="BN106" s="293">
        <f>$E$77*BB106*(BE106)</f>
        <v>0</v>
      </c>
      <c r="BO106" s="293">
        <f>$E$78*$BB106*(BF106)</f>
        <v>0</v>
      </c>
      <c r="BP106" s="293">
        <f>$E$79*BB106*(BG106)</f>
        <v>0</v>
      </c>
      <c r="BQ106" s="278">
        <f>SUM(BN106:BP106) /($E$99*$E$91)</f>
        <v>0</v>
      </c>
      <c r="BR106" s="223"/>
      <c r="BS106" s="1091">
        <f>IFERROR(VLOOKUP('C-sidumine'!Z14,'C-taust'!$C$95:$E$96, 3,FALSE)*$E$85,0)</f>
        <v>0.95</v>
      </c>
      <c r="BT106" s="305">
        <f t="shared" ref="BT106:BT142" si="31">$O$8*0.07</f>
        <v>3.9677400000000005</v>
      </c>
      <c r="BU106" s="293">
        <f t="shared" ref="BU106:BU142" si="32">$O$8*0.93</f>
        <v>52.714260000000003</v>
      </c>
      <c r="BV106" s="278">
        <f t="shared" ref="BV106:BV125" si="33">$AB20</f>
        <v>0</v>
      </c>
      <c r="BW106" s="278">
        <f t="shared" ref="BW106:BW125" si="34">$AC20</f>
        <v>0</v>
      </c>
      <c r="BX106" s="278">
        <f t="shared" ref="BX106:BX125" si="35">$AD20</f>
        <v>0</v>
      </c>
      <c r="BY106" s="293">
        <f>($E$77*BS106)*(($E$98*$E$92*BT106)-BV106)/(($E$99-$E$98)*$E$92)</f>
        <v>-0.58813952668442093</v>
      </c>
      <c r="BZ106" s="293">
        <f>($E$78*BS106)*(($E$98*$E$92*BT106)-BW106)/(($E$99-$E$98)*$E$92)</f>
        <v>-1.4988071809054597</v>
      </c>
      <c r="CA106" s="293">
        <f>($E$79*BS106)*(($E$98*$E$92*BT106)-BX106)/(($E$99-$E$98)*$E$92)</f>
        <v>-1.0093233167616513</v>
      </c>
      <c r="CB106" s="278">
        <f>BV106/($E$98*$E$92)</f>
        <v>0</v>
      </c>
      <c r="CC106" s="278">
        <f>BW106/($E$98*$E$92)</f>
        <v>0</v>
      </c>
      <c r="CD106" s="278">
        <f>BX106/($E$98*$E$92)</f>
        <v>0</v>
      </c>
      <c r="CE106" s="293">
        <f>$E$77*BS106*(BV106)</f>
        <v>0</v>
      </c>
      <c r="CF106" s="293">
        <f>$E$78*$BS106*(BW106)</f>
        <v>0</v>
      </c>
      <c r="CG106" s="293">
        <f>$E$79*BS106*(BX106)</f>
        <v>0</v>
      </c>
      <c r="CH106" s="278">
        <f>SUM(CE106:CG106) /($E$99*$E$92)</f>
        <v>0</v>
      </c>
      <c r="CI106" s="223"/>
      <c r="CJ106" s="1092"/>
    </row>
    <row r="107" spans="2:88" ht="17.5">
      <c r="B107" s="223">
        <f>IFERROR(VLOOKUP('C-sidumine'!Z15,'C-taust'!$C$95:$E$96, 3,FALSE)*$E$81,0)</f>
        <v>0.75</v>
      </c>
      <c r="C107" s="223">
        <f>'C-sidumine'!D15</f>
        <v>0</v>
      </c>
      <c r="D107" s="1097">
        <f t="shared" si="16"/>
        <v>4.6020519999999996</v>
      </c>
      <c r="E107" s="223">
        <f t="shared" si="17"/>
        <v>61.141547999999993</v>
      </c>
      <c r="F107" s="278">
        <f>'C-taust'!AB21</f>
        <v>0</v>
      </c>
      <c r="G107" s="278">
        <f t="shared" ref="G107:G125" si="36">AC21</f>
        <v>0</v>
      </c>
      <c r="H107" s="278">
        <f t="shared" ref="H107:H125" si="37">AD21</f>
        <v>0</v>
      </c>
      <c r="I107" s="293">
        <f t="shared" ref="I107:I125" si="38">($E$77*$B107)*(($E$98*$E$88*$D107)-$F107)/(($E$99-$E$98)*$E$88)</f>
        <v>-0.53855038617842876</v>
      </c>
      <c r="J107" s="293">
        <f t="shared" ref="J107:J144" si="39">($E$78*$B107)*(($E$98*$E$88*$D107)-$G107)/(($E$99-$E$98)*$E$88)</f>
        <v>-1.3724348550998668</v>
      </c>
      <c r="K107" s="293">
        <f t="shared" ref="K107:K125" si="40">($E$79*$B107)*(($E$98*$E$88*$D107)-$H107)/(($E$99-$E$98)*$E$88)</f>
        <v>-0.92422195305459387</v>
      </c>
      <c r="L107" s="278">
        <f t="shared" ref="L107:L144" si="41">F107/($E$98*$E$88)</f>
        <v>0</v>
      </c>
      <c r="M107" s="278">
        <f t="shared" ref="M107:M144" si="42">G107/($E$98*$E$88)</f>
        <v>0</v>
      </c>
      <c r="N107" s="278">
        <f t="shared" ref="N107:N144" si="43">H107/($E$98*$E$88)</f>
        <v>0</v>
      </c>
      <c r="O107" s="293">
        <f t="shared" ref="O107:O144" si="44">$E$77*$B107*(F107)</f>
        <v>0</v>
      </c>
      <c r="P107" s="293">
        <f t="shared" ref="P107:P144" si="45">$E$78*$B107*(G107)</f>
        <v>0</v>
      </c>
      <c r="Q107" s="293">
        <f t="shared" ref="Q107:Q144" si="46">$E$79*$B107*(H107)</f>
        <v>0</v>
      </c>
      <c r="R107" s="1104">
        <f t="shared" ref="R107:R144" si="47">SUM(O107:Q107) /($E$99*$E$88)</f>
        <v>0</v>
      </c>
      <c r="S107" s="223"/>
      <c r="T107" s="223">
        <f>IFERROR(VLOOKUP('C-sidumine'!Z15,'C-taust'!$C$95:$E$96, 3,FALSE)*$E$82,0)</f>
        <v>0.96</v>
      </c>
      <c r="U107" s="305">
        <f t="shared" si="18"/>
        <v>4.6020519999999996</v>
      </c>
      <c r="V107" s="293">
        <f t="shared" si="19"/>
        <v>61.141547999999993</v>
      </c>
      <c r="W107" s="278">
        <f t="shared" si="20"/>
        <v>0</v>
      </c>
      <c r="X107" s="278">
        <f t="shared" si="21"/>
        <v>0</v>
      </c>
      <c r="Y107" s="278">
        <f t="shared" si="22"/>
        <v>0</v>
      </c>
      <c r="Z107" s="293">
        <f t="shared" ref="Z107:Z144" si="48">($E$77*T107)*(($E$98*$E$89*U107)-$W107)/(($E$99-$E$98)*$E$89)</f>
        <v>-0.68934449430838873</v>
      </c>
      <c r="AA107" s="293">
        <f t="shared" ref="AA107:AA144" si="49">($E$78*T107)*(($E$98*$E$89*U107)-$X107)/(($E$99-$E$98)*$E$89)</f>
        <v>-1.7567166145278295</v>
      </c>
      <c r="AB107" s="293">
        <f>($E$79*T107)*(($E$98*$E$89*U107)-$Y107)/(($E$99-$E$98)*$E$89)</f>
        <v>-1.1830040999098801</v>
      </c>
      <c r="AC107" s="278">
        <f t="shared" ref="AC107:AC144" si="50">W107/($E$98*$E$89)</f>
        <v>0</v>
      </c>
      <c r="AD107" s="278">
        <f t="shared" ref="AD107:AD144" si="51">X107/($E$98*$E$89)</f>
        <v>0</v>
      </c>
      <c r="AE107" s="278">
        <f t="shared" ref="AE107:AE144" si="52">Y107/($E$98*$E$89)</f>
        <v>0</v>
      </c>
      <c r="AF107" s="293">
        <f t="shared" ref="AF107:AF144" si="53">$E$77*$T107*(W107)</f>
        <v>0</v>
      </c>
      <c r="AG107" s="293">
        <f t="shared" ref="AG107:AG144" si="54">$E$78*$T107*(X107)</f>
        <v>0</v>
      </c>
      <c r="AH107" s="293">
        <f t="shared" ref="AH107:AH144" si="55">$E$79*$T107*(Y107)</f>
        <v>0</v>
      </c>
      <c r="AI107" s="1104">
        <f t="shared" ref="AI107:AI144" si="56">SUM(AF107:AH107) /($E$99*$E$89)</f>
        <v>0</v>
      </c>
      <c r="AJ107" s="223"/>
      <c r="AK107" s="223">
        <f>IFERROR(VLOOKUP('C-sidumine'!Z15,'C-taust'!$C$95:$E$96, 3,FALSE)*$E$83,0)</f>
        <v>1</v>
      </c>
      <c r="AL107" s="305">
        <f t="shared" ref="AL107:AL142" si="57">AVERAGE($O$5,$O$6)*0.07</f>
        <v>4.5655329999999994</v>
      </c>
      <c r="AM107" s="293">
        <f t="shared" ref="AM107:AM142" si="58">AVERAGE($O$5,$O$6)*0.93</f>
        <v>60.656366999999996</v>
      </c>
      <c r="AN107" s="278">
        <f t="shared" si="23"/>
        <v>0</v>
      </c>
      <c r="AO107" s="278">
        <f t="shared" si="24"/>
        <v>0</v>
      </c>
      <c r="AP107" s="278">
        <f t="shared" si="25"/>
        <v>0</v>
      </c>
      <c r="AQ107" s="293">
        <f t="shared" ref="AQ107:AQ145" si="59">($E$77*AK107)*(($E$98*$E$90*AL107)-AN107)/(($E$99-$E$98)*$E$90)</f>
        <v>-0.71236905051930755</v>
      </c>
      <c r="AR107" s="293">
        <f t="shared" ref="AR107:AR145" si="60">($E$78*AK107)*(($E$98*$E$90*AL107)-AO107)/(($E$99-$E$98)*$E$90)</f>
        <v>-1.815392096484687</v>
      </c>
      <c r="AS107" s="293">
        <f t="shared" ref="AS107:AS145" si="61">($E$79*AK107)*(($E$98*$E$90*AL107)-AP107)/(($E$99-$E$98)*$E$90)</f>
        <v>-1.2225172092782954</v>
      </c>
      <c r="AT107" s="278">
        <f t="shared" ref="AT107:AT144" si="62">AN107/($E$98*$E$90)</f>
        <v>0</v>
      </c>
      <c r="AU107" s="278">
        <f t="shared" ref="AU107:AU144" si="63">AO107/($E$98*$E$90)</f>
        <v>0</v>
      </c>
      <c r="AV107" s="278">
        <f t="shared" ref="AV107:AV144" si="64">AP107/($E$98*$E$90)</f>
        <v>0</v>
      </c>
      <c r="AW107" s="293">
        <f t="shared" ref="AW107:AW144" si="65">$E$77*AK107*(AN107)</f>
        <v>0</v>
      </c>
      <c r="AX107" s="293">
        <f t="shared" ref="AX107:AX144" si="66">$E$78*$AK107*(AO107)</f>
        <v>0</v>
      </c>
      <c r="AY107" s="293">
        <f t="shared" ref="AY107:AY144" si="67">$E$79*AK107*(AP107)</f>
        <v>0</v>
      </c>
      <c r="AZ107" s="1104">
        <f t="shared" ref="AZ107:AZ144" si="68">SUM(AW107:AY107) /($E$99*$E$89)</f>
        <v>0</v>
      </c>
      <c r="BA107" s="223"/>
      <c r="BB107" s="223">
        <f>IFERROR(VLOOKUP('C-sidumine'!Z15,'C-taust'!$C$95:$E$96, 3,FALSE)*$E$84,0)</f>
        <v>0.98</v>
      </c>
      <c r="BC107" s="305">
        <f t="shared" si="26"/>
        <v>4.4026780000000008</v>
      </c>
      <c r="BD107" s="293">
        <f t="shared" si="27"/>
        <v>58.492722000000008</v>
      </c>
      <c r="BE107" s="278">
        <f t="shared" si="28"/>
        <v>0</v>
      </c>
      <c r="BF107" s="278">
        <f t="shared" si="29"/>
        <v>0</v>
      </c>
      <c r="BG107" s="278">
        <f t="shared" si="30"/>
        <v>0</v>
      </c>
      <c r="BH107" s="293">
        <f t="shared" ref="BH107:BH145" si="69">($E$77*BB107)*(($E$98*$E$91*BC107)-BE107)/(($E$99-$E$98)*$E$91)</f>
        <v>-0.67321929677656478</v>
      </c>
      <c r="BI107" s="293">
        <f t="shared" ref="BI107:BI145" si="70">($E$78*BB107)*(($E$98*$E$91*BC107)-BF107)/(($E$99-$E$98)*$E$91)</f>
        <v>-1.715623369204794</v>
      </c>
      <c r="BJ107" s="293">
        <f t="shared" ref="BJ107:BJ145" si="71">($E$79*BB107)*(($E$98*$E$91*BC107)-BG107)/(($E$99-$E$98)*$E$91)</f>
        <v>-1.1553311802746209</v>
      </c>
      <c r="BK107" s="278">
        <f t="shared" ref="BK107:BK144" si="72">BE107/($E$98*$E$91)</f>
        <v>0</v>
      </c>
      <c r="BL107" s="278">
        <f t="shared" ref="BL107:BL144" si="73">BF107/($E$98*$E$91)</f>
        <v>0</v>
      </c>
      <c r="BM107" s="278">
        <f t="shared" ref="BM107:BM143" si="74">BG107/($E$98*$E$91)</f>
        <v>0</v>
      </c>
      <c r="BN107" s="293">
        <f t="shared" ref="BN107:BN143" si="75">$E$77*BB107*(BE107)</f>
        <v>0</v>
      </c>
      <c r="BO107" s="293">
        <f t="shared" ref="BO107:BO143" si="76">$E$78*$BB107*(BF107)</f>
        <v>0</v>
      </c>
      <c r="BP107" s="293">
        <f t="shared" ref="BP107:BP143" si="77">$E$79*BB107*(BG107)</f>
        <v>0</v>
      </c>
      <c r="BQ107" s="278">
        <f t="shared" ref="BQ107:BQ143" si="78">SUM(BN107:BP107) /($E$99*$E$91)</f>
        <v>0</v>
      </c>
      <c r="BR107" s="223"/>
      <c r="BS107" s="1091">
        <f>IFERROR(VLOOKUP('C-sidumine'!Z15,'C-taust'!$C$95:$E$96, 3,FALSE)*$E$85,0)</f>
        <v>0.95</v>
      </c>
      <c r="BT107" s="305">
        <f t="shared" si="31"/>
        <v>3.9677400000000005</v>
      </c>
      <c r="BU107" s="293">
        <f t="shared" si="32"/>
        <v>52.714260000000003</v>
      </c>
      <c r="BV107" s="278">
        <f t="shared" si="33"/>
        <v>0</v>
      </c>
      <c r="BW107" s="278">
        <f t="shared" si="34"/>
        <v>0</v>
      </c>
      <c r="BX107" s="278">
        <f t="shared" si="35"/>
        <v>0</v>
      </c>
      <c r="BY107" s="293">
        <f t="shared" ref="BY107:BY145" si="79">($E$77*BS107)*(($E$98*$E$92*BT107)-BV107)/(($E$99-$E$98)*$E$92)</f>
        <v>-0.58813952668442093</v>
      </c>
      <c r="BZ107" s="293">
        <f t="shared" ref="BZ107:BZ145" si="80">($E$78*BS107)*(($E$98*$E$92*BT107)-BW107)/(($E$99-$E$98)*$E$92)</f>
        <v>-1.4988071809054597</v>
      </c>
      <c r="CA107" s="293">
        <f t="shared" ref="CA107:CA145" si="81">($E$79*BS107)*(($E$98*$E$92*BT107)-BX107)/(($E$99-$E$98)*$E$92)</f>
        <v>-1.0093233167616513</v>
      </c>
      <c r="CB107" s="278">
        <f t="shared" ref="CB107:CB144" si="82">BV107/($E$98*$E$92)</f>
        <v>0</v>
      </c>
      <c r="CC107" s="278">
        <f t="shared" ref="CC107:CC144" si="83">BW107/($E$98*$E$92)</f>
        <v>0</v>
      </c>
      <c r="CD107" s="278">
        <f t="shared" ref="CD107:CD144" si="84">BX107/($E$98*$E$92)</f>
        <v>0</v>
      </c>
      <c r="CE107" s="293">
        <f t="shared" ref="CE107:CE144" si="85">$E$77*BS107*(BV107)</f>
        <v>0</v>
      </c>
      <c r="CF107" s="293">
        <f t="shared" ref="CF107:CF144" si="86">$E$78*$BS107*(BW107)</f>
        <v>0</v>
      </c>
      <c r="CG107" s="293">
        <f t="shared" ref="CG107:CG144" si="87">$E$79*BS107*(BX107)</f>
        <v>0</v>
      </c>
      <c r="CH107" s="278">
        <f t="shared" ref="CH107:CH144" si="88">SUM(CE107:CG107) /($E$99*$E$92)</f>
        <v>0</v>
      </c>
      <c r="CI107" s="223"/>
      <c r="CJ107" s="1092"/>
    </row>
    <row r="108" spans="2:88" ht="17.5">
      <c r="B108" s="223">
        <f>IFERROR(VLOOKUP('C-sidumine'!Z16,'C-taust'!$C$95:$E$96, 3,FALSE)*$E$81,0)</f>
        <v>0.75</v>
      </c>
      <c r="C108" s="223">
        <f>'C-sidumine'!D16</f>
        <v>0</v>
      </c>
      <c r="D108" s="1097">
        <f t="shared" si="16"/>
        <v>4.6020519999999996</v>
      </c>
      <c r="E108" s="223">
        <f t="shared" si="17"/>
        <v>61.141547999999993</v>
      </c>
      <c r="F108" s="278">
        <f>'C-taust'!AB22</f>
        <v>0</v>
      </c>
      <c r="G108" s="278">
        <f t="shared" si="36"/>
        <v>0</v>
      </c>
      <c r="H108" s="278">
        <f t="shared" si="37"/>
        <v>0</v>
      </c>
      <c r="I108" s="293">
        <f t="shared" si="38"/>
        <v>-0.53855038617842876</v>
      </c>
      <c r="J108" s="293">
        <f t="shared" si="39"/>
        <v>-1.3724348550998668</v>
      </c>
      <c r="K108" s="293">
        <f t="shared" si="40"/>
        <v>-0.92422195305459387</v>
      </c>
      <c r="L108" s="278">
        <f t="shared" si="41"/>
        <v>0</v>
      </c>
      <c r="M108" s="278">
        <f t="shared" si="42"/>
        <v>0</v>
      </c>
      <c r="N108" s="278">
        <f t="shared" si="43"/>
        <v>0</v>
      </c>
      <c r="O108" s="293">
        <f t="shared" si="44"/>
        <v>0</v>
      </c>
      <c r="P108" s="293">
        <f t="shared" si="45"/>
        <v>0</v>
      </c>
      <c r="Q108" s="293">
        <f t="shared" si="46"/>
        <v>0</v>
      </c>
      <c r="R108" s="1104">
        <f t="shared" si="47"/>
        <v>0</v>
      </c>
      <c r="S108" s="223"/>
      <c r="T108" s="223">
        <f>IFERROR(VLOOKUP('C-sidumine'!Z16,'C-taust'!$C$95:$E$96, 3,FALSE)*$E$82,0)</f>
        <v>0.96</v>
      </c>
      <c r="U108" s="305">
        <f t="shared" si="18"/>
        <v>4.6020519999999996</v>
      </c>
      <c r="V108" s="293">
        <f t="shared" si="19"/>
        <v>61.141547999999993</v>
      </c>
      <c r="W108" s="278">
        <f t="shared" si="20"/>
        <v>0</v>
      </c>
      <c r="X108" s="278">
        <f t="shared" si="21"/>
        <v>0</v>
      </c>
      <c r="Y108" s="278">
        <f t="shared" si="22"/>
        <v>0</v>
      </c>
      <c r="Z108" s="293">
        <f t="shared" si="48"/>
        <v>-0.68934449430838873</v>
      </c>
      <c r="AA108" s="293">
        <f t="shared" si="49"/>
        <v>-1.7567166145278295</v>
      </c>
      <c r="AB108" s="293">
        <f t="shared" ref="AB108:AB144" si="89">($E$79*T108)*(($E$98*$E$89*U108)-$Y108)/(($E$99-$E$98)*$E$89)</f>
        <v>-1.1830040999098801</v>
      </c>
      <c r="AC108" s="278">
        <f t="shared" si="50"/>
        <v>0</v>
      </c>
      <c r="AD108" s="278">
        <f t="shared" si="51"/>
        <v>0</v>
      </c>
      <c r="AE108" s="278">
        <f t="shared" si="52"/>
        <v>0</v>
      </c>
      <c r="AF108" s="293">
        <f t="shared" si="53"/>
        <v>0</v>
      </c>
      <c r="AG108" s="293">
        <f t="shared" si="54"/>
        <v>0</v>
      </c>
      <c r="AH108" s="293">
        <f t="shared" si="55"/>
        <v>0</v>
      </c>
      <c r="AI108" s="1104">
        <f t="shared" si="56"/>
        <v>0</v>
      </c>
      <c r="AJ108" s="223"/>
      <c r="AK108" s="223">
        <f>IFERROR(VLOOKUP('C-sidumine'!Z16,'C-taust'!$C$95:$E$96, 3,FALSE)*$E$83,0)</f>
        <v>1</v>
      </c>
      <c r="AL108" s="305">
        <f t="shared" si="57"/>
        <v>4.5655329999999994</v>
      </c>
      <c r="AM108" s="293">
        <f t="shared" si="58"/>
        <v>60.656366999999996</v>
      </c>
      <c r="AN108" s="278">
        <f t="shared" si="23"/>
        <v>0</v>
      </c>
      <c r="AO108" s="278">
        <f t="shared" si="24"/>
        <v>0</v>
      </c>
      <c r="AP108" s="278">
        <f t="shared" si="25"/>
        <v>0</v>
      </c>
      <c r="AQ108" s="293">
        <f t="shared" si="59"/>
        <v>-0.71236905051930755</v>
      </c>
      <c r="AR108" s="293">
        <f t="shared" si="60"/>
        <v>-1.815392096484687</v>
      </c>
      <c r="AS108" s="293">
        <f t="shared" si="61"/>
        <v>-1.2225172092782954</v>
      </c>
      <c r="AT108" s="278">
        <f t="shared" si="62"/>
        <v>0</v>
      </c>
      <c r="AU108" s="278">
        <f t="shared" si="63"/>
        <v>0</v>
      </c>
      <c r="AV108" s="278">
        <f t="shared" si="64"/>
        <v>0</v>
      </c>
      <c r="AW108" s="293">
        <f t="shared" si="65"/>
        <v>0</v>
      </c>
      <c r="AX108" s="293">
        <f t="shared" si="66"/>
        <v>0</v>
      </c>
      <c r="AY108" s="293">
        <f t="shared" si="67"/>
        <v>0</v>
      </c>
      <c r="AZ108" s="1104">
        <f t="shared" si="68"/>
        <v>0</v>
      </c>
      <c r="BA108" s="223"/>
      <c r="BB108" s="223">
        <f>IFERROR(VLOOKUP('C-sidumine'!Z16,'C-taust'!$C$95:$E$96, 3,FALSE)*$E$84,0)</f>
        <v>0.98</v>
      </c>
      <c r="BC108" s="305">
        <f t="shared" si="26"/>
        <v>4.4026780000000008</v>
      </c>
      <c r="BD108" s="293">
        <f t="shared" si="27"/>
        <v>58.492722000000008</v>
      </c>
      <c r="BE108" s="278">
        <f t="shared" si="28"/>
        <v>0</v>
      </c>
      <c r="BF108" s="278">
        <f t="shared" si="29"/>
        <v>0</v>
      </c>
      <c r="BG108" s="278">
        <f t="shared" si="30"/>
        <v>0</v>
      </c>
      <c r="BH108" s="293">
        <f t="shared" si="69"/>
        <v>-0.67321929677656478</v>
      </c>
      <c r="BI108" s="293">
        <f t="shared" si="70"/>
        <v>-1.715623369204794</v>
      </c>
      <c r="BJ108" s="293">
        <f t="shared" si="71"/>
        <v>-1.1553311802746209</v>
      </c>
      <c r="BK108" s="278">
        <f t="shared" si="72"/>
        <v>0</v>
      </c>
      <c r="BL108" s="278">
        <f t="shared" si="73"/>
        <v>0</v>
      </c>
      <c r="BM108" s="278">
        <f t="shared" si="74"/>
        <v>0</v>
      </c>
      <c r="BN108" s="293">
        <f t="shared" si="75"/>
        <v>0</v>
      </c>
      <c r="BO108" s="293">
        <f t="shared" si="76"/>
        <v>0</v>
      </c>
      <c r="BP108" s="293">
        <f t="shared" si="77"/>
        <v>0</v>
      </c>
      <c r="BQ108" s="278">
        <f t="shared" si="78"/>
        <v>0</v>
      </c>
      <c r="BR108" s="223"/>
      <c r="BS108" s="1091">
        <f>IFERROR(VLOOKUP('C-sidumine'!Z16,'C-taust'!$C$95:$E$96, 3,FALSE)*$E$85,0)</f>
        <v>0.95</v>
      </c>
      <c r="BT108" s="305">
        <f t="shared" si="31"/>
        <v>3.9677400000000005</v>
      </c>
      <c r="BU108" s="293">
        <f t="shared" si="32"/>
        <v>52.714260000000003</v>
      </c>
      <c r="BV108" s="278">
        <f t="shared" si="33"/>
        <v>0</v>
      </c>
      <c r="BW108" s="278">
        <f t="shared" si="34"/>
        <v>0</v>
      </c>
      <c r="BX108" s="278">
        <f t="shared" si="35"/>
        <v>0</v>
      </c>
      <c r="BY108" s="293">
        <f t="shared" si="79"/>
        <v>-0.58813952668442093</v>
      </c>
      <c r="BZ108" s="293">
        <f t="shared" si="80"/>
        <v>-1.4988071809054597</v>
      </c>
      <c r="CA108" s="293">
        <f t="shared" si="81"/>
        <v>-1.0093233167616513</v>
      </c>
      <c r="CB108" s="278">
        <f t="shared" si="82"/>
        <v>0</v>
      </c>
      <c r="CC108" s="278">
        <f t="shared" si="83"/>
        <v>0</v>
      </c>
      <c r="CD108" s="278">
        <f t="shared" si="84"/>
        <v>0</v>
      </c>
      <c r="CE108" s="293">
        <f t="shared" si="85"/>
        <v>0</v>
      </c>
      <c r="CF108" s="293">
        <f t="shared" si="86"/>
        <v>0</v>
      </c>
      <c r="CG108" s="293">
        <f t="shared" si="87"/>
        <v>0</v>
      </c>
      <c r="CH108" s="278">
        <f t="shared" si="88"/>
        <v>0</v>
      </c>
      <c r="CI108" s="223"/>
      <c r="CJ108" s="1092"/>
    </row>
    <row r="109" spans="2:88" ht="17.5">
      <c r="B109" s="223">
        <f>IFERROR(VLOOKUP('C-sidumine'!Z17,'C-taust'!$C$95:$E$96, 3,FALSE)*$E$81,0)</f>
        <v>0.75</v>
      </c>
      <c r="C109" s="223">
        <f>'C-sidumine'!D17</f>
        <v>0</v>
      </c>
      <c r="D109" s="1097">
        <f t="shared" si="16"/>
        <v>4.6020519999999996</v>
      </c>
      <c r="E109" s="223">
        <f t="shared" si="17"/>
        <v>61.141547999999993</v>
      </c>
      <c r="F109" s="278">
        <f>'C-taust'!AB23</f>
        <v>0</v>
      </c>
      <c r="G109" s="278">
        <f t="shared" si="36"/>
        <v>0</v>
      </c>
      <c r="H109" s="278">
        <f t="shared" si="37"/>
        <v>0</v>
      </c>
      <c r="I109" s="293">
        <f t="shared" si="38"/>
        <v>-0.53855038617842876</v>
      </c>
      <c r="J109" s="293">
        <f t="shared" si="39"/>
        <v>-1.3724348550998668</v>
      </c>
      <c r="K109" s="293">
        <f t="shared" si="40"/>
        <v>-0.92422195305459387</v>
      </c>
      <c r="L109" s="278">
        <f t="shared" si="41"/>
        <v>0</v>
      </c>
      <c r="M109" s="278">
        <f t="shared" si="42"/>
        <v>0</v>
      </c>
      <c r="N109" s="278">
        <f t="shared" si="43"/>
        <v>0</v>
      </c>
      <c r="O109" s="293">
        <f t="shared" si="44"/>
        <v>0</v>
      </c>
      <c r="P109" s="293">
        <f t="shared" si="45"/>
        <v>0</v>
      </c>
      <c r="Q109" s="293">
        <f t="shared" si="46"/>
        <v>0</v>
      </c>
      <c r="R109" s="1104">
        <f t="shared" si="47"/>
        <v>0</v>
      </c>
      <c r="S109" s="223"/>
      <c r="T109" s="223">
        <f>IFERROR(VLOOKUP('C-sidumine'!Z17,'C-taust'!$C$95:$E$96, 3,FALSE)*$E$82,0)</f>
        <v>0.96</v>
      </c>
      <c r="U109" s="305">
        <f t="shared" si="18"/>
        <v>4.6020519999999996</v>
      </c>
      <c r="V109" s="293">
        <f t="shared" si="19"/>
        <v>61.141547999999993</v>
      </c>
      <c r="W109" s="278">
        <f t="shared" si="20"/>
        <v>0</v>
      </c>
      <c r="X109" s="278">
        <f t="shared" si="21"/>
        <v>0</v>
      </c>
      <c r="Y109" s="278">
        <f t="shared" si="22"/>
        <v>0</v>
      </c>
      <c r="Z109" s="293">
        <f t="shared" si="48"/>
        <v>-0.68934449430838873</v>
      </c>
      <c r="AA109" s="293">
        <f t="shared" si="49"/>
        <v>-1.7567166145278295</v>
      </c>
      <c r="AB109" s="293">
        <f t="shared" si="89"/>
        <v>-1.1830040999098801</v>
      </c>
      <c r="AC109" s="278">
        <f t="shared" si="50"/>
        <v>0</v>
      </c>
      <c r="AD109" s="278">
        <f t="shared" si="51"/>
        <v>0</v>
      </c>
      <c r="AE109" s="278">
        <f t="shared" si="52"/>
        <v>0</v>
      </c>
      <c r="AF109" s="293">
        <f t="shared" si="53"/>
        <v>0</v>
      </c>
      <c r="AG109" s="293">
        <f t="shared" si="54"/>
        <v>0</v>
      </c>
      <c r="AH109" s="293">
        <f t="shared" si="55"/>
        <v>0</v>
      </c>
      <c r="AI109" s="1104">
        <f t="shared" si="56"/>
        <v>0</v>
      </c>
      <c r="AJ109" s="223"/>
      <c r="AK109" s="223">
        <f>IFERROR(VLOOKUP('C-sidumine'!Z17,'C-taust'!$C$95:$E$96, 3,FALSE)*$E$83,0)</f>
        <v>1</v>
      </c>
      <c r="AL109" s="305">
        <f t="shared" si="57"/>
        <v>4.5655329999999994</v>
      </c>
      <c r="AM109" s="293">
        <f t="shared" si="58"/>
        <v>60.656366999999996</v>
      </c>
      <c r="AN109" s="278">
        <f t="shared" si="23"/>
        <v>0</v>
      </c>
      <c r="AO109" s="278">
        <f t="shared" si="24"/>
        <v>0</v>
      </c>
      <c r="AP109" s="278">
        <f t="shared" si="25"/>
        <v>0</v>
      </c>
      <c r="AQ109" s="293">
        <f t="shared" si="59"/>
        <v>-0.71236905051930755</v>
      </c>
      <c r="AR109" s="293">
        <f t="shared" si="60"/>
        <v>-1.815392096484687</v>
      </c>
      <c r="AS109" s="293">
        <f t="shared" si="61"/>
        <v>-1.2225172092782954</v>
      </c>
      <c r="AT109" s="278">
        <f t="shared" si="62"/>
        <v>0</v>
      </c>
      <c r="AU109" s="278">
        <f t="shared" si="63"/>
        <v>0</v>
      </c>
      <c r="AV109" s="278">
        <f t="shared" si="64"/>
        <v>0</v>
      </c>
      <c r="AW109" s="293">
        <f t="shared" si="65"/>
        <v>0</v>
      </c>
      <c r="AX109" s="293">
        <f t="shared" si="66"/>
        <v>0</v>
      </c>
      <c r="AY109" s="293">
        <f t="shared" si="67"/>
        <v>0</v>
      </c>
      <c r="AZ109" s="1104">
        <f t="shared" si="68"/>
        <v>0</v>
      </c>
      <c r="BA109" s="223"/>
      <c r="BB109" s="223">
        <f>IFERROR(VLOOKUP('C-sidumine'!Z17,'C-taust'!$C$95:$E$96, 3,FALSE)*$E$84,0)</f>
        <v>0.98</v>
      </c>
      <c r="BC109" s="305">
        <f t="shared" si="26"/>
        <v>4.4026780000000008</v>
      </c>
      <c r="BD109" s="293">
        <f t="shared" si="27"/>
        <v>58.492722000000008</v>
      </c>
      <c r="BE109" s="278">
        <f t="shared" si="28"/>
        <v>0</v>
      </c>
      <c r="BF109" s="278">
        <f t="shared" si="29"/>
        <v>0</v>
      </c>
      <c r="BG109" s="278">
        <f t="shared" si="30"/>
        <v>0</v>
      </c>
      <c r="BH109" s="293">
        <f t="shared" si="69"/>
        <v>-0.67321929677656478</v>
      </c>
      <c r="BI109" s="293">
        <f t="shared" si="70"/>
        <v>-1.715623369204794</v>
      </c>
      <c r="BJ109" s="293">
        <f t="shared" si="71"/>
        <v>-1.1553311802746209</v>
      </c>
      <c r="BK109" s="278">
        <f t="shared" si="72"/>
        <v>0</v>
      </c>
      <c r="BL109" s="278">
        <f t="shared" si="73"/>
        <v>0</v>
      </c>
      <c r="BM109" s="278">
        <f t="shared" si="74"/>
        <v>0</v>
      </c>
      <c r="BN109" s="293">
        <f t="shared" si="75"/>
        <v>0</v>
      </c>
      <c r="BO109" s="293">
        <f t="shared" si="76"/>
        <v>0</v>
      </c>
      <c r="BP109" s="293">
        <f t="shared" si="77"/>
        <v>0</v>
      </c>
      <c r="BQ109" s="278">
        <f t="shared" si="78"/>
        <v>0</v>
      </c>
      <c r="BR109" s="223"/>
      <c r="BS109" s="1091">
        <f>IFERROR(VLOOKUP('C-sidumine'!Z17,'C-taust'!$C$95:$E$96, 3,FALSE)*$E$85,0)</f>
        <v>0.95</v>
      </c>
      <c r="BT109" s="305">
        <f t="shared" si="31"/>
        <v>3.9677400000000005</v>
      </c>
      <c r="BU109" s="293">
        <f t="shared" si="32"/>
        <v>52.714260000000003</v>
      </c>
      <c r="BV109" s="278">
        <f t="shared" si="33"/>
        <v>0</v>
      </c>
      <c r="BW109" s="278">
        <f t="shared" si="34"/>
        <v>0</v>
      </c>
      <c r="BX109" s="278">
        <f t="shared" si="35"/>
        <v>0</v>
      </c>
      <c r="BY109" s="293">
        <f t="shared" si="79"/>
        <v>-0.58813952668442093</v>
      </c>
      <c r="BZ109" s="293">
        <f t="shared" si="80"/>
        <v>-1.4988071809054597</v>
      </c>
      <c r="CA109" s="293">
        <f t="shared" si="81"/>
        <v>-1.0093233167616513</v>
      </c>
      <c r="CB109" s="278">
        <f t="shared" si="82"/>
        <v>0</v>
      </c>
      <c r="CC109" s="278">
        <f t="shared" si="83"/>
        <v>0</v>
      </c>
      <c r="CD109" s="278">
        <f t="shared" si="84"/>
        <v>0</v>
      </c>
      <c r="CE109" s="293">
        <f t="shared" si="85"/>
        <v>0</v>
      </c>
      <c r="CF109" s="293">
        <f t="shared" si="86"/>
        <v>0</v>
      </c>
      <c r="CG109" s="293">
        <f t="shared" si="87"/>
        <v>0</v>
      </c>
      <c r="CH109" s="278">
        <f t="shared" si="88"/>
        <v>0</v>
      </c>
      <c r="CI109" s="223"/>
      <c r="CJ109" s="1092"/>
    </row>
    <row r="110" spans="2:88" ht="17.5">
      <c r="B110" s="223">
        <f>IFERROR(VLOOKUP('C-sidumine'!Z18,'C-taust'!$C$95:$E$96, 3,FALSE)*$E$81,0)</f>
        <v>0.75</v>
      </c>
      <c r="C110" s="223">
        <f>'C-sidumine'!D18</f>
        <v>0</v>
      </c>
      <c r="D110" s="1097">
        <f t="shared" si="16"/>
        <v>4.6020519999999996</v>
      </c>
      <c r="E110" s="223">
        <f t="shared" si="17"/>
        <v>61.141547999999993</v>
      </c>
      <c r="F110" s="278">
        <f>'C-taust'!AB24</f>
        <v>0</v>
      </c>
      <c r="G110" s="278">
        <f t="shared" si="36"/>
        <v>0</v>
      </c>
      <c r="H110" s="278">
        <f t="shared" si="37"/>
        <v>0</v>
      </c>
      <c r="I110" s="293">
        <f t="shared" si="38"/>
        <v>-0.53855038617842876</v>
      </c>
      <c r="J110" s="293">
        <f t="shared" si="39"/>
        <v>-1.3724348550998668</v>
      </c>
      <c r="K110" s="293">
        <f t="shared" si="40"/>
        <v>-0.92422195305459387</v>
      </c>
      <c r="L110" s="278">
        <f t="shared" si="41"/>
        <v>0</v>
      </c>
      <c r="M110" s="278">
        <f t="shared" si="42"/>
        <v>0</v>
      </c>
      <c r="N110" s="278">
        <f t="shared" si="43"/>
        <v>0</v>
      </c>
      <c r="O110" s="293">
        <f t="shared" si="44"/>
        <v>0</v>
      </c>
      <c r="P110" s="293">
        <f t="shared" si="45"/>
        <v>0</v>
      </c>
      <c r="Q110" s="293">
        <f t="shared" si="46"/>
        <v>0</v>
      </c>
      <c r="R110" s="1104">
        <f t="shared" si="47"/>
        <v>0</v>
      </c>
      <c r="S110" s="223"/>
      <c r="T110" s="223">
        <f>IFERROR(VLOOKUP('C-sidumine'!Z18,'C-taust'!$C$95:$E$96, 3,FALSE)*$E$82,0)</f>
        <v>0.96</v>
      </c>
      <c r="U110" s="305">
        <f t="shared" si="18"/>
        <v>4.6020519999999996</v>
      </c>
      <c r="V110" s="293">
        <f t="shared" si="19"/>
        <v>61.141547999999993</v>
      </c>
      <c r="W110" s="278">
        <f t="shared" si="20"/>
        <v>0</v>
      </c>
      <c r="X110" s="278">
        <f t="shared" si="21"/>
        <v>0</v>
      </c>
      <c r="Y110" s="278">
        <f t="shared" si="22"/>
        <v>0</v>
      </c>
      <c r="Z110" s="293">
        <f t="shared" si="48"/>
        <v>-0.68934449430838873</v>
      </c>
      <c r="AA110" s="293">
        <f t="shared" si="49"/>
        <v>-1.7567166145278295</v>
      </c>
      <c r="AB110" s="293">
        <f t="shared" si="89"/>
        <v>-1.1830040999098801</v>
      </c>
      <c r="AC110" s="278">
        <f t="shared" si="50"/>
        <v>0</v>
      </c>
      <c r="AD110" s="278">
        <f t="shared" si="51"/>
        <v>0</v>
      </c>
      <c r="AE110" s="278">
        <f t="shared" si="52"/>
        <v>0</v>
      </c>
      <c r="AF110" s="293">
        <f t="shared" si="53"/>
        <v>0</v>
      </c>
      <c r="AG110" s="293">
        <f t="shared" si="54"/>
        <v>0</v>
      </c>
      <c r="AH110" s="293">
        <f t="shared" si="55"/>
        <v>0</v>
      </c>
      <c r="AI110" s="1104">
        <f t="shared" si="56"/>
        <v>0</v>
      </c>
      <c r="AJ110" s="223"/>
      <c r="AK110" s="223">
        <f>IFERROR(VLOOKUP('C-sidumine'!Z18,'C-taust'!$C$95:$E$96, 3,FALSE)*$E$83,0)</f>
        <v>1</v>
      </c>
      <c r="AL110" s="305">
        <f t="shared" si="57"/>
        <v>4.5655329999999994</v>
      </c>
      <c r="AM110" s="293">
        <f t="shared" si="58"/>
        <v>60.656366999999996</v>
      </c>
      <c r="AN110" s="278">
        <f t="shared" si="23"/>
        <v>0</v>
      </c>
      <c r="AO110" s="278">
        <f t="shared" si="24"/>
        <v>0</v>
      </c>
      <c r="AP110" s="278">
        <f t="shared" si="25"/>
        <v>0</v>
      </c>
      <c r="AQ110" s="293">
        <f t="shared" si="59"/>
        <v>-0.71236905051930755</v>
      </c>
      <c r="AR110" s="293">
        <f t="shared" si="60"/>
        <v>-1.815392096484687</v>
      </c>
      <c r="AS110" s="293">
        <f t="shared" si="61"/>
        <v>-1.2225172092782954</v>
      </c>
      <c r="AT110" s="278">
        <f t="shared" si="62"/>
        <v>0</v>
      </c>
      <c r="AU110" s="278">
        <f t="shared" si="63"/>
        <v>0</v>
      </c>
      <c r="AV110" s="278">
        <f t="shared" si="64"/>
        <v>0</v>
      </c>
      <c r="AW110" s="293">
        <f t="shared" si="65"/>
        <v>0</v>
      </c>
      <c r="AX110" s="293">
        <f t="shared" si="66"/>
        <v>0</v>
      </c>
      <c r="AY110" s="293">
        <f t="shared" si="67"/>
        <v>0</v>
      </c>
      <c r="AZ110" s="1104">
        <f t="shared" si="68"/>
        <v>0</v>
      </c>
      <c r="BA110" s="223"/>
      <c r="BB110" s="223">
        <f>IFERROR(VLOOKUP('C-sidumine'!Z18,'C-taust'!$C$95:$E$96, 3,FALSE)*$E$84,0)</f>
        <v>0.98</v>
      </c>
      <c r="BC110" s="305">
        <f t="shared" si="26"/>
        <v>4.4026780000000008</v>
      </c>
      <c r="BD110" s="293">
        <f t="shared" si="27"/>
        <v>58.492722000000008</v>
      </c>
      <c r="BE110" s="278">
        <f t="shared" si="28"/>
        <v>0</v>
      </c>
      <c r="BF110" s="278">
        <f t="shared" si="29"/>
        <v>0</v>
      </c>
      <c r="BG110" s="278">
        <f t="shared" si="30"/>
        <v>0</v>
      </c>
      <c r="BH110" s="293">
        <f t="shared" si="69"/>
        <v>-0.67321929677656478</v>
      </c>
      <c r="BI110" s="293">
        <f t="shared" si="70"/>
        <v>-1.715623369204794</v>
      </c>
      <c r="BJ110" s="293">
        <f t="shared" si="71"/>
        <v>-1.1553311802746209</v>
      </c>
      <c r="BK110" s="278">
        <f t="shared" si="72"/>
        <v>0</v>
      </c>
      <c r="BL110" s="278">
        <f t="shared" si="73"/>
        <v>0</v>
      </c>
      <c r="BM110" s="278">
        <f t="shared" si="74"/>
        <v>0</v>
      </c>
      <c r="BN110" s="293">
        <f t="shared" si="75"/>
        <v>0</v>
      </c>
      <c r="BO110" s="293">
        <f t="shared" si="76"/>
        <v>0</v>
      </c>
      <c r="BP110" s="293">
        <f t="shared" si="77"/>
        <v>0</v>
      </c>
      <c r="BQ110" s="278">
        <f t="shared" si="78"/>
        <v>0</v>
      </c>
      <c r="BR110" s="223"/>
      <c r="BS110" s="1091">
        <f>IFERROR(VLOOKUP('C-sidumine'!Z18,'C-taust'!$C$95:$E$96, 3,FALSE)*$E$85,0)</f>
        <v>0.95</v>
      </c>
      <c r="BT110" s="305">
        <f t="shared" si="31"/>
        <v>3.9677400000000005</v>
      </c>
      <c r="BU110" s="293">
        <f t="shared" si="32"/>
        <v>52.714260000000003</v>
      </c>
      <c r="BV110" s="278">
        <f t="shared" si="33"/>
        <v>0</v>
      </c>
      <c r="BW110" s="278">
        <f t="shared" si="34"/>
        <v>0</v>
      </c>
      <c r="BX110" s="278">
        <f t="shared" si="35"/>
        <v>0</v>
      </c>
      <c r="BY110" s="293">
        <f t="shared" si="79"/>
        <v>-0.58813952668442093</v>
      </c>
      <c r="BZ110" s="293">
        <f t="shared" si="80"/>
        <v>-1.4988071809054597</v>
      </c>
      <c r="CA110" s="293">
        <f t="shared" si="81"/>
        <v>-1.0093233167616513</v>
      </c>
      <c r="CB110" s="278">
        <f t="shared" si="82"/>
        <v>0</v>
      </c>
      <c r="CC110" s="278">
        <f t="shared" si="83"/>
        <v>0</v>
      </c>
      <c r="CD110" s="278">
        <f t="shared" si="84"/>
        <v>0</v>
      </c>
      <c r="CE110" s="293">
        <f t="shared" si="85"/>
        <v>0</v>
      </c>
      <c r="CF110" s="293">
        <f t="shared" si="86"/>
        <v>0</v>
      </c>
      <c r="CG110" s="293">
        <f t="shared" si="87"/>
        <v>0</v>
      </c>
      <c r="CH110" s="278">
        <f t="shared" si="88"/>
        <v>0</v>
      </c>
      <c r="CI110" s="223"/>
      <c r="CJ110" s="1092"/>
    </row>
    <row r="111" spans="2:88" ht="17.5">
      <c r="B111" s="223">
        <f>IFERROR(VLOOKUP('C-sidumine'!Z19,'C-taust'!$C$95:$E$96, 3,FALSE)*$E$81,0)</f>
        <v>0.75</v>
      </c>
      <c r="C111" s="223">
        <f>'C-sidumine'!D19</f>
        <v>0</v>
      </c>
      <c r="D111" s="1097">
        <f t="shared" si="16"/>
        <v>4.6020519999999996</v>
      </c>
      <c r="E111" s="223">
        <f t="shared" si="17"/>
        <v>61.141547999999993</v>
      </c>
      <c r="F111" s="278">
        <f>'C-taust'!AB25</f>
        <v>0</v>
      </c>
      <c r="G111" s="278">
        <f t="shared" si="36"/>
        <v>0</v>
      </c>
      <c r="H111" s="278">
        <f t="shared" si="37"/>
        <v>0</v>
      </c>
      <c r="I111" s="293">
        <f t="shared" si="38"/>
        <v>-0.53855038617842876</v>
      </c>
      <c r="J111" s="293">
        <f t="shared" si="39"/>
        <v>-1.3724348550998668</v>
      </c>
      <c r="K111" s="293">
        <f t="shared" si="40"/>
        <v>-0.92422195305459387</v>
      </c>
      <c r="L111" s="278">
        <f t="shared" si="41"/>
        <v>0</v>
      </c>
      <c r="M111" s="278">
        <f t="shared" si="42"/>
        <v>0</v>
      </c>
      <c r="N111" s="278">
        <f t="shared" si="43"/>
        <v>0</v>
      </c>
      <c r="O111" s="293">
        <f t="shared" si="44"/>
        <v>0</v>
      </c>
      <c r="P111" s="293">
        <f t="shared" si="45"/>
        <v>0</v>
      </c>
      <c r="Q111" s="293">
        <f t="shared" si="46"/>
        <v>0</v>
      </c>
      <c r="R111" s="1104">
        <f t="shared" si="47"/>
        <v>0</v>
      </c>
      <c r="S111" s="293"/>
      <c r="T111" s="223">
        <f>IFERROR(VLOOKUP('C-sidumine'!Z19,'C-taust'!$C$95:$E$96, 3,FALSE)*$E$82,0)</f>
        <v>0.96</v>
      </c>
      <c r="U111" s="305">
        <f t="shared" si="18"/>
        <v>4.6020519999999996</v>
      </c>
      <c r="V111" s="293">
        <f t="shared" si="19"/>
        <v>61.141547999999993</v>
      </c>
      <c r="W111" s="278">
        <f t="shared" si="20"/>
        <v>0</v>
      </c>
      <c r="X111" s="278">
        <f t="shared" si="21"/>
        <v>0</v>
      </c>
      <c r="Y111" s="278">
        <f t="shared" si="22"/>
        <v>0</v>
      </c>
      <c r="Z111" s="293">
        <f t="shared" si="48"/>
        <v>-0.68934449430838873</v>
      </c>
      <c r="AA111" s="293">
        <f t="shared" si="49"/>
        <v>-1.7567166145278295</v>
      </c>
      <c r="AB111" s="293">
        <f t="shared" si="89"/>
        <v>-1.1830040999098801</v>
      </c>
      <c r="AC111" s="278">
        <f t="shared" si="50"/>
        <v>0</v>
      </c>
      <c r="AD111" s="278">
        <f t="shared" si="51"/>
        <v>0</v>
      </c>
      <c r="AE111" s="278">
        <f t="shared" si="52"/>
        <v>0</v>
      </c>
      <c r="AF111" s="293">
        <f t="shared" si="53"/>
        <v>0</v>
      </c>
      <c r="AG111" s="293">
        <f t="shared" si="54"/>
        <v>0</v>
      </c>
      <c r="AH111" s="293">
        <f t="shared" si="55"/>
        <v>0</v>
      </c>
      <c r="AI111" s="1104">
        <f t="shared" si="56"/>
        <v>0</v>
      </c>
      <c r="AJ111" s="223"/>
      <c r="AK111" s="223">
        <f>IFERROR(VLOOKUP('C-sidumine'!Z19,'C-taust'!$C$95:$E$96, 3,FALSE)*$E$83,0)</f>
        <v>1</v>
      </c>
      <c r="AL111" s="305">
        <f t="shared" si="57"/>
        <v>4.5655329999999994</v>
      </c>
      <c r="AM111" s="293">
        <f t="shared" si="58"/>
        <v>60.656366999999996</v>
      </c>
      <c r="AN111" s="278">
        <f t="shared" si="23"/>
        <v>0</v>
      </c>
      <c r="AO111" s="278">
        <f t="shared" si="24"/>
        <v>0</v>
      </c>
      <c r="AP111" s="278">
        <f t="shared" si="25"/>
        <v>0</v>
      </c>
      <c r="AQ111" s="293">
        <f t="shared" si="59"/>
        <v>-0.71236905051930755</v>
      </c>
      <c r="AR111" s="293">
        <f t="shared" si="60"/>
        <v>-1.815392096484687</v>
      </c>
      <c r="AS111" s="293">
        <f t="shared" si="61"/>
        <v>-1.2225172092782954</v>
      </c>
      <c r="AT111" s="278">
        <f t="shared" si="62"/>
        <v>0</v>
      </c>
      <c r="AU111" s="278">
        <f t="shared" si="63"/>
        <v>0</v>
      </c>
      <c r="AV111" s="278">
        <f t="shared" si="64"/>
        <v>0</v>
      </c>
      <c r="AW111" s="293">
        <f t="shared" si="65"/>
        <v>0</v>
      </c>
      <c r="AX111" s="293">
        <f t="shared" si="66"/>
        <v>0</v>
      </c>
      <c r="AY111" s="293">
        <f t="shared" si="67"/>
        <v>0</v>
      </c>
      <c r="AZ111" s="1104">
        <f t="shared" si="68"/>
        <v>0</v>
      </c>
      <c r="BA111" s="293"/>
      <c r="BB111" s="223">
        <f>IFERROR(VLOOKUP('C-sidumine'!Z19,'C-taust'!$C$95:$E$96, 3,FALSE)*$E$84,0)</f>
        <v>0.98</v>
      </c>
      <c r="BC111" s="305">
        <f t="shared" si="26"/>
        <v>4.4026780000000008</v>
      </c>
      <c r="BD111" s="293">
        <f t="shared" si="27"/>
        <v>58.492722000000008</v>
      </c>
      <c r="BE111" s="278">
        <f t="shared" si="28"/>
        <v>0</v>
      </c>
      <c r="BF111" s="278">
        <f t="shared" si="29"/>
        <v>0</v>
      </c>
      <c r="BG111" s="278">
        <f t="shared" si="30"/>
        <v>0</v>
      </c>
      <c r="BH111" s="293">
        <f t="shared" si="69"/>
        <v>-0.67321929677656478</v>
      </c>
      <c r="BI111" s="293">
        <f t="shared" si="70"/>
        <v>-1.715623369204794</v>
      </c>
      <c r="BJ111" s="293">
        <f t="shared" si="71"/>
        <v>-1.1553311802746209</v>
      </c>
      <c r="BK111" s="278">
        <f t="shared" si="72"/>
        <v>0</v>
      </c>
      <c r="BL111" s="278">
        <f t="shared" si="73"/>
        <v>0</v>
      </c>
      <c r="BM111" s="278">
        <f t="shared" si="74"/>
        <v>0</v>
      </c>
      <c r="BN111" s="293">
        <f t="shared" si="75"/>
        <v>0</v>
      </c>
      <c r="BO111" s="293">
        <f t="shared" si="76"/>
        <v>0</v>
      </c>
      <c r="BP111" s="293">
        <f t="shared" si="77"/>
        <v>0</v>
      </c>
      <c r="BQ111" s="278">
        <f t="shared" si="78"/>
        <v>0</v>
      </c>
      <c r="BR111" s="223"/>
      <c r="BS111" s="1091">
        <f>IFERROR(VLOOKUP('C-sidumine'!Z19,'C-taust'!$C$95:$E$96, 3,FALSE)*$E$85,0)</f>
        <v>0.95</v>
      </c>
      <c r="BT111" s="305">
        <f t="shared" si="31"/>
        <v>3.9677400000000005</v>
      </c>
      <c r="BU111" s="293">
        <f t="shared" si="32"/>
        <v>52.714260000000003</v>
      </c>
      <c r="BV111" s="278">
        <f t="shared" si="33"/>
        <v>0</v>
      </c>
      <c r="BW111" s="278">
        <f t="shared" si="34"/>
        <v>0</v>
      </c>
      <c r="BX111" s="278">
        <f t="shared" si="35"/>
        <v>0</v>
      </c>
      <c r="BY111" s="293">
        <f t="shared" si="79"/>
        <v>-0.58813952668442093</v>
      </c>
      <c r="BZ111" s="293">
        <f t="shared" si="80"/>
        <v>-1.4988071809054597</v>
      </c>
      <c r="CA111" s="293">
        <f t="shared" si="81"/>
        <v>-1.0093233167616513</v>
      </c>
      <c r="CB111" s="278">
        <f t="shared" si="82"/>
        <v>0</v>
      </c>
      <c r="CC111" s="278">
        <f t="shared" si="83"/>
        <v>0</v>
      </c>
      <c r="CD111" s="278">
        <f t="shared" si="84"/>
        <v>0</v>
      </c>
      <c r="CE111" s="293">
        <f t="shared" si="85"/>
        <v>0</v>
      </c>
      <c r="CF111" s="293">
        <f t="shared" si="86"/>
        <v>0</v>
      </c>
      <c r="CG111" s="293">
        <f t="shared" si="87"/>
        <v>0</v>
      </c>
      <c r="CH111" s="278">
        <f t="shared" si="88"/>
        <v>0</v>
      </c>
      <c r="CI111" s="293"/>
      <c r="CJ111" s="1100"/>
    </row>
    <row r="112" spans="2:88" ht="17.5">
      <c r="B112" s="223">
        <f>IFERROR(VLOOKUP('C-sidumine'!Z20,'C-taust'!$C$95:$E$96, 3,FALSE)*$E$81,0)</f>
        <v>0.75</v>
      </c>
      <c r="C112" s="223">
        <f>'C-sidumine'!D20</f>
        <v>0</v>
      </c>
      <c r="D112" s="1097">
        <f t="shared" si="16"/>
        <v>4.6020519999999996</v>
      </c>
      <c r="E112" s="223">
        <f t="shared" si="17"/>
        <v>61.141547999999993</v>
      </c>
      <c r="F112" s="278">
        <f>'C-taust'!AB26</f>
        <v>0</v>
      </c>
      <c r="G112" s="278">
        <f t="shared" si="36"/>
        <v>0</v>
      </c>
      <c r="H112" s="278">
        <f t="shared" si="37"/>
        <v>0</v>
      </c>
      <c r="I112" s="293">
        <f t="shared" si="38"/>
        <v>-0.53855038617842876</v>
      </c>
      <c r="J112" s="293">
        <f t="shared" si="39"/>
        <v>-1.3724348550998668</v>
      </c>
      <c r="K112" s="293">
        <f t="shared" si="40"/>
        <v>-0.92422195305459387</v>
      </c>
      <c r="L112" s="278">
        <f t="shared" si="41"/>
        <v>0</v>
      </c>
      <c r="M112" s="278">
        <f t="shared" si="42"/>
        <v>0</v>
      </c>
      <c r="N112" s="278">
        <f t="shared" si="43"/>
        <v>0</v>
      </c>
      <c r="O112" s="293">
        <f t="shared" si="44"/>
        <v>0</v>
      </c>
      <c r="P112" s="293">
        <f t="shared" si="45"/>
        <v>0</v>
      </c>
      <c r="Q112" s="293">
        <f t="shared" si="46"/>
        <v>0</v>
      </c>
      <c r="R112" s="1104">
        <f t="shared" si="47"/>
        <v>0</v>
      </c>
      <c r="S112" s="293"/>
      <c r="T112" s="223">
        <f>IFERROR(VLOOKUP('C-sidumine'!Z20,'C-taust'!$C$95:$E$96, 3,FALSE)*$E$82,0)</f>
        <v>0.96</v>
      </c>
      <c r="U112" s="305">
        <f t="shared" si="18"/>
        <v>4.6020519999999996</v>
      </c>
      <c r="V112" s="293">
        <f t="shared" si="19"/>
        <v>61.141547999999993</v>
      </c>
      <c r="W112" s="278">
        <f t="shared" si="20"/>
        <v>0</v>
      </c>
      <c r="X112" s="278">
        <f t="shared" si="21"/>
        <v>0</v>
      </c>
      <c r="Y112" s="278">
        <f t="shared" si="22"/>
        <v>0</v>
      </c>
      <c r="Z112" s="293">
        <f t="shared" si="48"/>
        <v>-0.68934449430838873</v>
      </c>
      <c r="AA112" s="293">
        <f t="shared" si="49"/>
        <v>-1.7567166145278295</v>
      </c>
      <c r="AB112" s="293">
        <f t="shared" si="89"/>
        <v>-1.1830040999098801</v>
      </c>
      <c r="AC112" s="278">
        <f t="shared" si="50"/>
        <v>0</v>
      </c>
      <c r="AD112" s="278">
        <f t="shared" si="51"/>
        <v>0</v>
      </c>
      <c r="AE112" s="278">
        <f t="shared" si="52"/>
        <v>0</v>
      </c>
      <c r="AF112" s="293">
        <f t="shared" si="53"/>
        <v>0</v>
      </c>
      <c r="AG112" s="293">
        <f t="shared" si="54"/>
        <v>0</v>
      </c>
      <c r="AH112" s="293">
        <f t="shared" si="55"/>
        <v>0</v>
      </c>
      <c r="AI112" s="1104">
        <f t="shared" si="56"/>
        <v>0</v>
      </c>
      <c r="AJ112" s="223"/>
      <c r="AK112" s="223">
        <f>IFERROR(VLOOKUP('C-sidumine'!Z20,'C-taust'!$C$95:$E$96, 3,FALSE)*$E$83,0)</f>
        <v>1</v>
      </c>
      <c r="AL112" s="305">
        <f t="shared" si="57"/>
        <v>4.5655329999999994</v>
      </c>
      <c r="AM112" s="293">
        <f t="shared" si="58"/>
        <v>60.656366999999996</v>
      </c>
      <c r="AN112" s="278">
        <f t="shared" si="23"/>
        <v>0</v>
      </c>
      <c r="AO112" s="278">
        <f t="shared" si="24"/>
        <v>0</v>
      </c>
      <c r="AP112" s="278">
        <f t="shared" si="25"/>
        <v>0</v>
      </c>
      <c r="AQ112" s="293">
        <f t="shared" si="59"/>
        <v>-0.71236905051930755</v>
      </c>
      <c r="AR112" s="293">
        <f t="shared" si="60"/>
        <v>-1.815392096484687</v>
      </c>
      <c r="AS112" s="293">
        <f t="shared" si="61"/>
        <v>-1.2225172092782954</v>
      </c>
      <c r="AT112" s="278">
        <f t="shared" si="62"/>
        <v>0</v>
      </c>
      <c r="AU112" s="278">
        <f t="shared" si="63"/>
        <v>0</v>
      </c>
      <c r="AV112" s="278">
        <f t="shared" si="64"/>
        <v>0</v>
      </c>
      <c r="AW112" s="293">
        <f t="shared" si="65"/>
        <v>0</v>
      </c>
      <c r="AX112" s="293">
        <f t="shared" si="66"/>
        <v>0</v>
      </c>
      <c r="AY112" s="293">
        <f t="shared" si="67"/>
        <v>0</v>
      </c>
      <c r="AZ112" s="1104">
        <f t="shared" si="68"/>
        <v>0</v>
      </c>
      <c r="BA112" s="223"/>
      <c r="BB112" s="223">
        <f>IFERROR(VLOOKUP('C-sidumine'!Z20,'C-taust'!$C$95:$E$96, 3,FALSE)*$E$84,0)</f>
        <v>0.98</v>
      </c>
      <c r="BC112" s="305">
        <f t="shared" si="26"/>
        <v>4.4026780000000008</v>
      </c>
      <c r="BD112" s="293">
        <f t="shared" si="27"/>
        <v>58.492722000000008</v>
      </c>
      <c r="BE112" s="278">
        <f t="shared" si="28"/>
        <v>0</v>
      </c>
      <c r="BF112" s="278">
        <f t="shared" si="29"/>
        <v>0</v>
      </c>
      <c r="BG112" s="278">
        <f t="shared" si="30"/>
        <v>0</v>
      </c>
      <c r="BH112" s="293">
        <f t="shared" si="69"/>
        <v>-0.67321929677656478</v>
      </c>
      <c r="BI112" s="293">
        <f t="shared" si="70"/>
        <v>-1.715623369204794</v>
      </c>
      <c r="BJ112" s="293">
        <f t="shared" si="71"/>
        <v>-1.1553311802746209</v>
      </c>
      <c r="BK112" s="278">
        <f t="shared" si="72"/>
        <v>0</v>
      </c>
      <c r="BL112" s="278">
        <f t="shared" si="73"/>
        <v>0</v>
      </c>
      <c r="BM112" s="278">
        <f t="shared" si="74"/>
        <v>0</v>
      </c>
      <c r="BN112" s="293">
        <f t="shared" si="75"/>
        <v>0</v>
      </c>
      <c r="BO112" s="293">
        <f t="shared" si="76"/>
        <v>0</v>
      </c>
      <c r="BP112" s="293">
        <f t="shared" si="77"/>
        <v>0</v>
      </c>
      <c r="BQ112" s="278">
        <f t="shared" si="78"/>
        <v>0</v>
      </c>
      <c r="BR112" s="223"/>
      <c r="BS112" s="1091">
        <f>IFERROR(VLOOKUP('C-sidumine'!Z20,'C-taust'!$C$95:$E$96, 3,FALSE)*$E$85,0)</f>
        <v>0.95</v>
      </c>
      <c r="BT112" s="305">
        <f t="shared" si="31"/>
        <v>3.9677400000000005</v>
      </c>
      <c r="BU112" s="293">
        <f t="shared" si="32"/>
        <v>52.714260000000003</v>
      </c>
      <c r="BV112" s="278">
        <f t="shared" si="33"/>
        <v>0</v>
      </c>
      <c r="BW112" s="278">
        <f t="shared" si="34"/>
        <v>0</v>
      </c>
      <c r="BX112" s="278">
        <f t="shared" si="35"/>
        <v>0</v>
      </c>
      <c r="BY112" s="293">
        <f t="shared" si="79"/>
        <v>-0.58813952668442093</v>
      </c>
      <c r="BZ112" s="293">
        <f t="shared" si="80"/>
        <v>-1.4988071809054597</v>
      </c>
      <c r="CA112" s="293">
        <f t="shared" si="81"/>
        <v>-1.0093233167616513</v>
      </c>
      <c r="CB112" s="278">
        <f t="shared" si="82"/>
        <v>0</v>
      </c>
      <c r="CC112" s="278">
        <f t="shared" si="83"/>
        <v>0</v>
      </c>
      <c r="CD112" s="278">
        <f t="shared" si="84"/>
        <v>0</v>
      </c>
      <c r="CE112" s="293">
        <f t="shared" si="85"/>
        <v>0</v>
      </c>
      <c r="CF112" s="293">
        <f t="shared" si="86"/>
        <v>0</v>
      </c>
      <c r="CG112" s="293">
        <f t="shared" si="87"/>
        <v>0</v>
      </c>
      <c r="CH112" s="278">
        <f t="shared" si="88"/>
        <v>0</v>
      </c>
      <c r="CI112" s="293"/>
      <c r="CJ112" s="1100"/>
    </row>
    <row r="113" spans="2:88" ht="17.5">
      <c r="B113" s="223">
        <f>IFERROR(VLOOKUP('C-sidumine'!Z21,'C-taust'!$C$95:$E$96, 3,FALSE)*$E$81,0)</f>
        <v>0.75</v>
      </c>
      <c r="C113" s="223">
        <f>'C-sidumine'!D21</f>
        <v>0</v>
      </c>
      <c r="D113" s="1097">
        <f t="shared" si="16"/>
        <v>4.6020519999999996</v>
      </c>
      <c r="E113" s="223">
        <f t="shared" si="17"/>
        <v>61.141547999999993</v>
      </c>
      <c r="F113" s="278">
        <f>'C-taust'!AB27</f>
        <v>0</v>
      </c>
      <c r="G113" s="278">
        <f t="shared" si="36"/>
        <v>0</v>
      </c>
      <c r="H113" s="278">
        <f t="shared" si="37"/>
        <v>0</v>
      </c>
      <c r="I113" s="293">
        <f t="shared" si="38"/>
        <v>-0.53855038617842876</v>
      </c>
      <c r="J113" s="293">
        <f t="shared" si="39"/>
        <v>-1.3724348550998668</v>
      </c>
      <c r="K113" s="293">
        <f t="shared" si="40"/>
        <v>-0.92422195305459387</v>
      </c>
      <c r="L113" s="278">
        <f t="shared" si="41"/>
        <v>0</v>
      </c>
      <c r="M113" s="278">
        <f t="shared" si="42"/>
        <v>0</v>
      </c>
      <c r="N113" s="278">
        <f t="shared" si="43"/>
        <v>0</v>
      </c>
      <c r="O113" s="293">
        <f t="shared" si="44"/>
        <v>0</v>
      </c>
      <c r="P113" s="293">
        <f t="shared" si="45"/>
        <v>0</v>
      </c>
      <c r="Q113" s="293">
        <f t="shared" si="46"/>
        <v>0</v>
      </c>
      <c r="R113" s="1104">
        <f t="shared" si="47"/>
        <v>0</v>
      </c>
      <c r="S113" s="293"/>
      <c r="T113" s="223">
        <f>IFERROR(VLOOKUP('C-sidumine'!Z21,'C-taust'!$C$95:$E$96, 3,FALSE)*$E$82,0)</f>
        <v>0.96</v>
      </c>
      <c r="U113" s="305">
        <f t="shared" si="18"/>
        <v>4.6020519999999996</v>
      </c>
      <c r="V113" s="293">
        <f t="shared" si="19"/>
        <v>61.141547999999993</v>
      </c>
      <c r="W113" s="278">
        <f t="shared" si="20"/>
        <v>0</v>
      </c>
      <c r="X113" s="278">
        <f t="shared" si="21"/>
        <v>0</v>
      </c>
      <c r="Y113" s="278">
        <f t="shared" si="22"/>
        <v>0</v>
      </c>
      <c r="Z113" s="293">
        <f t="shared" si="48"/>
        <v>-0.68934449430838873</v>
      </c>
      <c r="AA113" s="293">
        <f t="shared" si="49"/>
        <v>-1.7567166145278295</v>
      </c>
      <c r="AB113" s="293">
        <f t="shared" si="89"/>
        <v>-1.1830040999098801</v>
      </c>
      <c r="AC113" s="278">
        <f t="shared" si="50"/>
        <v>0</v>
      </c>
      <c r="AD113" s="278">
        <f t="shared" si="51"/>
        <v>0</v>
      </c>
      <c r="AE113" s="278">
        <f t="shared" si="52"/>
        <v>0</v>
      </c>
      <c r="AF113" s="293">
        <f t="shared" si="53"/>
        <v>0</v>
      </c>
      <c r="AG113" s="293">
        <f t="shared" si="54"/>
        <v>0</v>
      </c>
      <c r="AH113" s="293">
        <f t="shared" si="55"/>
        <v>0</v>
      </c>
      <c r="AI113" s="1104">
        <f t="shared" si="56"/>
        <v>0</v>
      </c>
      <c r="AJ113" s="223"/>
      <c r="AK113" s="223">
        <f>IFERROR(VLOOKUP('C-sidumine'!Z21,'C-taust'!$C$95:$E$96, 3,FALSE)*$E$83,0)</f>
        <v>1</v>
      </c>
      <c r="AL113" s="305">
        <f t="shared" si="57"/>
        <v>4.5655329999999994</v>
      </c>
      <c r="AM113" s="293">
        <f t="shared" si="58"/>
        <v>60.656366999999996</v>
      </c>
      <c r="AN113" s="278">
        <f t="shared" si="23"/>
        <v>0</v>
      </c>
      <c r="AO113" s="278">
        <f t="shared" si="24"/>
        <v>0</v>
      </c>
      <c r="AP113" s="278">
        <f t="shared" si="25"/>
        <v>0</v>
      </c>
      <c r="AQ113" s="293">
        <f t="shared" si="59"/>
        <v>-0.71236905051930755</v>
      </c>
      <c r="AR113" s="293">
        <f t="shared" si="60"/>
        <v>-1.815392096484687</v>
      </c>
      <c r="AS113" s="293">
        <f t="shared" si="61"/>
        <v>-1.2225172092782954</v>
      </c>
      <c r="AT113" s="278">
        <f t="shared" si="62"/>
        <v>0</v>
      </c>
      <c r="AU113" s="278">
        <f t="shared" si="63"/>
        <v>0</v>
      </c>
      <c r="AV113" s="278">
        <f t="shared" si="64"/>
        <v>0</v>
      </c>
      <c r="AW113" s="293">
        <f t="shared" si="65"/>
        <v>0</v>
      </c>
      <c r="AX113" s="293">
        <f t="shared" si="66"/>
        <v>0</v>
      </c>
      <c r="AY113" s="293">
        <f t="shared" si="67"/>
        <v>0</v>
      </c>
      <c r="AZ113" s="1104">
        <f t="shared" si="68"/>
        <v>0</v>
      </c>
      <c r="BA113" s="223"/>
      <c r="BB113" s="223">
        <f>IFERROR(VLOOKUP('C-sidumine'!Z21,'C-taust'!$C$95:$E$96, 3,FALSE)*$E$84,0)</f>
        <v>0.98</v>
      </c>
      <c r="BC113" s="305">
        <f t="shared" si="26"/>
        <v>4.4026780000000008</v>
      </c>
      <c r="BD113" s="293">
        <f t="shared" si="27"/>
        <v>58.492722000000008</v>
      </c>
      <c r="BE113" s="278">
        <f t="shared" si="28"/>
        <v>0</v>
      </c>
      <c r="BF113" s="278">
        <f t="shared" si="29"/>
        <v>0</v>
      </c>
      <c r="BG113" s="278">
        <f t="shared" si="30"/>
        <v>0</v>
      </c>
      <c r="BH113" s="293">
        <f t="shared" si="69"/>
        <v>-0.67321929677656478</v>
      </c>
      <c r="BI113" s="293">
        <f t="shared" si="70"/>
        <v>-1.715623369204794</v>
      </c>
      <c r="BJ113" s="293">
        <f t="shared" si="71"/>
        <v>-1.1553311802746209</v>
      </c>
      <c r="BK113" s="278">
        <f t="shared" si="72"/>
        <v>0</v>
      </c>
      <c r="BL113" s="278">
        <f t="shared" si="73"/>
        <v>0</v>
      </c>
      <c r="BM113" s="278">
        <f t="shared" si="74"/>
        <v>0</v>
      </c>
      <c r="BN113" s="293">
        <f t="shared" si="75"/>
        <v>0</v>
      </c>
      <c r="BO113" s="293">
        <f t="shared" si="76"/>
        <v>0</v>
      </c>
      <c r="BP113" s="293">
        <f t="shared" si="77"/>
        <v>0</v>
      </c>
      <c r="BQ113" s="278">
        <f t="shared" si="78"/>
        <v>0</v>
      </c>
      <c r="BR113" s="223"/>
      <c r="BS113" s="1091">
        <f>IFERROR(VLOOKUP('C-sidumine'!Z21,'C-taust'!$C$95:$E$96, 3,FALSE)*$E$85,0)</f>
        <v>0.95</v>
      </c>
      <c r="BT113" s="305">
        <f t="shared" si="31"/>
        <v>3.9677400000000005</v>
      </c>
      <c r="BU113" s="293">
        <f t="shared" si="32"/>
        <v>52.714260000000003</v>
      </c>
      <c r="BV113" s="278">
        <f t="shared" si="33"/>
        <v>0</v>
      </c>
      <c r="BW113" s="278">
        <f t="shared" si="34"/>
        <v>0</v>
      </c>
      <c r="BX113" s="278">
        <f t="shared" si="35"/>
        <v>0</v>
      </c>
      <c r="BY113" s="293">
        <f t="shared" si="79"/>
        <v>-0.58813952668442093</v>
      </c>
      <c r="BZ113" s="293">
        <f t="shared" si="80"/>
        <v>-1.4988071809054597</v>
      </c>
      <c r="CA113" s="293">
        <f t="shared" si="81"/>
        <v>-1.0093233167616513</v>
      </c>
      <c r="CB113" s="278">
        <f t="shared" si="82"/>
        <v>0</v>
      </c>
      <c r="CC113" s="278">
        <f t="shared" si="83"/>
        <v>0</v>
      </c>
      <c r="CD113" s="278">
        <f t="shared" si="84"/>
        <v>0</v>
      </c>
      <c r="CE113" s="293">
        <f t="shared" si="85"/>
        <v>0</v>
      </c>
      <c r="CF113" s="293">
        <f t="shared" si="86"/>
        <v>0</v>
      </c>
      <c r="CG113" s="293">
        <f t="shared" si="87"/>
        <v>0</v>
      </c>
      <c r="CH113" s="278">
        <f t="shared" si="88"/>
        <v>0</v>
      </c>
      <c r="CI113" s="293"/>
      <c r="CJ113" s="1100"/>
    </row>
    <row r="114" spans="2:88" ht="17.5">
      <c r="B114" s="223">
        <f>IFERROR(VLOOKUP('C-sidumine'!Z22,'C-taust'!$C$95:$E$96, 3,FALSE)*$E$81,0)</f>
        <v>0.75</v>
      </c>
      <c r="C114" s="223">
        <f>'C-sidumine'!D22</f>
        <v>0</v>
      </c>
      <c r="D114" s="1097">
        <f t="shared" si="16"/>
        <v>4.6020519999999996</v>
      </c>
      <c r="E114" s="223">
        <f t="shared" si="17"/>
        <v>61.141547999999993</v>
      </c>
      <c r="F114" s="278">
        <f>'C-taust'!AB28</f>
        <v>0</v>
      </c>
      <c r="G114" s="278">
        <f t="shared" si="36"/>
        <v>0</v>
      </c>
      <c r="H114" s="278">
        <f t="shared" si="37"/>
        <v>0</v>
      </c>
      <c r="I114" s="293">
        <f t="shared" si="38"/>
        <v>-0.53855038617842876</v>
      </c>
      <c r="J114" s="293">
        <f t="shared" si="39"/>
        <v>-1.3724348550998668</v>
      </c>
      <c r="K114" s="293">
        <f t="shared" si="40"/>
        <v>-0.92422195305459387</v>
      </c>
      <c r="L114" s="278">
        <f t="shared" si="41"/>
        <v>0</v>
      </c>
      <c r="M114" s="278">
        <f t="shared" si="42"/>
        <v>0</v>
      </c>
      <c r="N114" s="278">
        <f t="shared" si="43"/>
        <v>0</v>
      </c>
      <c r="O114" s="293">
        <f t="shared" si="44"/>
        <v>0</v>
      </c>
      <c r="P114" s="293">
        <f t="shared" si="45"/>
        <v>0</v>
      </c>
      <c r="Q114" s="293">
        <f t="shared" si="46"/>
        <v>0</v>
      </c>
      <c r="R114" s="1104">
        <f t="shared" si="47"/>
        <v>0</v>
      </c>
      <c r="S114" s="293"/>
      <c r="T114" s="223">
        <f>IFERROR(VLOOKUP('C-sidumine'!Z22,'C-taust'!$C$95:$E$96, 3,FALSE)*$E$82,0)</f>
        <v>0.96</v>
      </c>
      <c r="U114" s="305">
        <f t="shared" si="18"/>
        <v>4.6020519999999996</v>
      </c>
      <c r="V114" s="293">
        <f t="shared" si="19"/>
        <v>61.141547999999993</v>
      </c>
      <c r="W114" s="278">
        <f t="shared" si="20"/>
        <v>0</v>
      </c>
      <c r="X114" s="278">
        <f t="shared" si="21"/>
        <v>0</v>
      </c>
      <c r="Y114" s="278">
        <f t="shared" si="22"/>
        <v>0</v>
      </c>
      <c r="Z114" s="293">
        <f t="shared" si="48"/>
        <v>-0.68934449430838873</v>
      </c>
      <c r="AA114" s="293">
        <f t="shared" si="49"/>
        <v>-1.7567166145278295</v>
      </c>
      <c r="AB114" s="293">
        <f t="shared" si="89"/>
        <v>-1.1830040999098801</v>
      </c>
      <c r="AC114" s="278">
        <f t="shared" si="50"/>
        <v>0</v>
      </c>
      <c r="AD114" s="278">
        <f t="shared" si="51"/>
        <v>0</v>
      </c>
      <c r="AE114" s="278">
        <f t="shared" si="52"/>
        <v>0</v>
      </c>
      <c r="AF114" s="293">
        <f t="shared" si="53"/>
        <v>0</v>
      </c>
      <c r="AG114" s="293">
        <f t="shared" si="54"/>
        <v>0</v>
      </c>
      <c r="AH114" s="293">
        <f t="shared" si="55"/>
        <v>0</v>
      </c>
      <c r="AI114" s="1104">
        <f t="shared" si="56"/>
        <v>0</v>
      </c>
      <c r="AJ114" s="223"/>
      <c r="AK114" s="223">
        <f>IFERROR(VLOOKUP('C-sidumine'!Z22,'C-taust'!$C$95:$E$96, 3,FALSE)*$E$83,0)</f>
        <v>1</v>
      </c>
      <c r="AL114" s="305">
        <f t="shared" si="57"/>
        <v>4.5655329999999994</v>
      </c>
      <c r="AM114" s="293">
        <f t="shared" si="58"/>
        <v>60.656366999999996</v>
      </c>
      <c r="AN114" s="278">
        <f t="shared" si="23"/>
        <v>0</v>
      </c>
      <c r="AO114" s="278">
        <f t="shared" si="24"/>
        <v>0</v>
      </c>
      <c r="AP114" s="278">
        <f t="shared" si="25"/>
        <v>0</v>
      </c>
      <c r="AQ114" s="293">
        <f t="shared" si="59"/>
        <v>-0.71236905051930755</v>
      </c>
      <c r="AR114" s="293">
        <f t="shared" si="60"/>
        <v>-1.815392096484687</v>
      </c>
      <c r="AS114" s="293">
        <f t="shared" si="61"/>
        <v>-1.2225172092782954</v>
      </c>
      <c r="AT114" s="278">
        <f t="shared" si="62"/>
        <v>0</v>
      </c>
      <c r="AU114" s="278">
        <f t="shared" si="63"/>
        <v>0</v>
      </c>
      <c r="AV114" s="278">
        <f t="shared" si="64"/>
        <v>0</v>
      </c>
      <c r="AW114" s="293">
        <f t="shared" si="65"/>
        <v>0</v>
      </c>
      <c r="AX114" s="293">
        <f t="shared" si="66"/>
        <v>0</v>
      </c>
      <c r="AY114" s="293">
        <f t="shared" si="67"/>
        <v>0</v>
      </c>
      <c r="AZ114" s="1104">
        <f t="shared" si="68"/>
        <v>0</v>
      </c>
      <c r="BA114" s="223"/>
      <c r="BB114" s="223">
        <f>IFERROR(VLOOKUP('C-sidumine'!Z22,'C-taust'!$C$95:$E$96, 3,FALSE)*$E$84,0)</f>
        <v>0.98</v>
      </c>
      <c r="BC114" s="305">
        <f t="shared" si="26"/>
        <v>4.4026780000000008</v>
      </c>
      <c r="BD114" s="293">
        <f t="shared" si="27"/>
        <v>58.492722000000008</v>
      </c>
      <c r="BE114" s="278">
        <f t="shared" si="28"/>
        <v>0</v>
      </c>
      <c r="BF114" s="278">
        <f t="shared" si="29"/>
        <v>0</v>
      </c>
      <c r="BG114" s="278">
        <f t="shared" si="30"/>
        <v>0</v>
      </c>
      <c r="BH114" s="293">
        <f t="shared" si="69"/>
        <v>-0.67321929677656478</v>
      </c>
      <c r="BI114" s="293">
        <f t="shared" si="70"/>
        <v>-1.715623369204794</v>
      </c>
      <c r="BJ114" s="293">
        <f t="shared" si="71"/>
        <v>-1.1553311802746209</v>
      </c>
      <c r="BK114" s="278">
        <f t="shared" si="72"/>
        <v>0</v>
      </c>
      <c r="BL114" s="278">
        <f t="shared" si="73"/>
        <v>0</v>
      </c>
      <c r="BM114" s="278">
        <f t="shared" si="74"/>
        <v>0</v>
      </c>
      <c r="BN114" s="293">
        <f t="shared" si="75"/>
        <v>0</v>
      </c>
      <c r="BO114" s="293">
        <f t="shared" si="76"/>
        <v>0</v>
      </c>
      <c r="BP114" s="293">
        <f t="shared" si="77"/>
        <v>0</v>
      </c>
      <c r="BQ114" s="278">
        <f t="shared" si="78"/>
        <v>0</v>
      </c>
      <c r="BR114" s="223"/>
      <c r="BS114" s="1091">
        <f>IFERROR(VLOOKUP('C-sidumine'!Z22,'C-taust'!$C$95:$E$96, 3,FALSE)*$E$85,0)</f>
        <v>0.95</v>
      </c>
      <c r="BT114" s="305">
        <f t="shared" si="31"/>
        <v>3.9677400000000005</v>
      </c>
      <c r="BU114" s="293">
        <f t="shared" si="32"/>
        <v>52.714260000000003</v>
      </c>
      <c r="BV114" s="278">
        <f t="shared" si="33"/>
        <v>0</v>
      </c>
      <c r="BW114" s="278">
        <f t="shared" si="34"/>
        <v>0</v>
      </c>
      <c r="BX114" s="278">
        <f t="shared" si="35"/>
        <v>0</v>
      </c>
      <c r="BY114" s="293">
        <f t="shared" si="79"/>
        <v>-0.58813952668442093</v>
      </c>
      <c r="BZ114" s="293">
        <f t="shared" si="80"/>
        <v>-1.4988071809054597</v>
      </c>
      <c r="CA114" s="293">
        <f t="shared" si="81"/>
        <v>-1.0093233167616513</v>
      </c>
      <c r="CB114" s="278">
        <f t="shared" si="82"/>
        <v>0</v>
      </c>
      <c r="CC114" s="278">
        <f t="shared" si="83"/>
        <v>0</v>
      </c>
      <c r="CD114" s="278">
        <f t="shared" si="84"/>
        <v>0</v>
      </c>
      <c r="CE114" s="293">
        <f t="shared" si="85"/>
        <v>0</v>
      </c>
      <c r="CF114" s="293">
        <f t="shared" si="86"/>
        <v>0</v>
      </c>
      <c r="CG114" s="293">
        <f t="shared" si="87"/>
        <v>0</v>
      </c>
      <c r="CH114" s="278">
        <f t="shared" si="88"/>
        <v>0</v>
      </c>
      <c r="CI114" s="293"/>
      <c r="CJ114" s="1100"/>
    </row>
    <row r="115" spans="2:88" ht="17.5">
      <c r="B115" s="223">
        <f>IFERROR(VLOOKUP('C-sidumine'!Z23,'C-taust'!$C$95:$E$96, 3,FALSE)*$E$81,0)</f>
        <v>0.75</v>
      </c>
      <c r="C115" s="223">
        <f>'C-sidumine'!D23</f>
        <v>0</v>
      </c>
      <c r="D115" s="1097">
        <f t="shared" si="16"/>
        <v>4.6020519999999996</v>
      </c>
      <c r="E115" s="223">
        <f t="shared" si="17"/>
        <v>61.141547999999993</v>
      </c>
      <c r="F115" s="278">
        <f>'C-taust'!AB29</f>
        <v>0</v>
      </c>
      <c r="G115" s="278">
        <f t="shared" si="36"/>
        <v>0</v>
      </c>
      <c r="H115" s="278">
        <f t="shared" si="37"/>
        <v>0</v>
      </c>
      <c r="I115" s="293">
        <f t="shared" si="38"/>
        <v>-0.53855038617842876</v>
      </c>
      <c r="J115" s="293">
        <f t="shared" si="39"/>
        <v>-1.3724348550998668</v>
      </c>
      <c r="K115" s="293">
        <f t="shared" si="40"/>
        <v>-0.92422195305459387</v>
      </c>
      <c r="L115" s="278">
        <f t="shared" si="41"/>
        <v>0</v>
      </c>
      <c r="M115" s="278">
        <f t="shared" si="42"/>
        <v>0</v>
      </c>
      <c r="N115" s="278">
        <f t="shared" si="43"/>
        <v>0</v>
      </c>
      <c r="O115" s="293">
        <f t="shared" si="44"/>
        <v>0</v>
      </c>
      <c r="P115" s="293">
        <f t="shared" si="45"/>
        <v>0</v>
      </c>
      <c r="Q115" s="293">
        <f t="shared" si="46"/>
        <v>0</v>
      </c>
      <c r="R115" s="1104">
        <f t="shared" si="47"/>
        <v>0</v>
      </c>
      <c r="S115" s="293"/>
      <c r="T115" s="223">
        <f>IFERROR(VLOOKUP('C-sidumine'!Z23,'C-taust'!$C$95:$E$96, 3,FALSE)*$E$82,0)</f>
        <v>0.96</v>
      </c>
      <c r="U115" s="305">
        <f t="shared" si="18"/>
        <v>4.6020519999999996</v>
      </c>
      <c r="V115" s="293">
        <f t="shared" si="19"/>
        <v>61.141547999999993</v>
      </c>
      <c r="W115" s="278">
        <f t="shared" si="20"/>
        <v>0</v>
      </c>
      <c r="X115" s="278">
        <f t="shared" si="21"/>
        <v>0</v>
      </c>
      <c r="Y115" s="278">
        <f t="shared" si="22"/>
        <v>0</v>
      </c>
      <c r="Z115" s="293">
        <f t="shared" si="48"/>
        <v>-0.68934449430838873</v>
      </c>
      <c r="AA115" s="293">
        <f t="shared" si="49"/>
        <v>-1.7567166145278295</v>
      </c>
      <c r="AB115" s="293">
        <f t="shared" si="89"/>
        <v>-1.1830040999098801</v>
      </c>
      <c r="AC115" s="278">
        <f t="shared" si="50"/>
        <v>0</v>
      </c>
      <c r="AD115" s="278">
        <f t="shared" si="51"/>
        <v>0</v>
      </c>
      <c r="AE115" s="278">
        <f t="shared" si="52"/>
        <v>0</v>
      </c>
      <c r="AF115" s="293">
        <f t="shared" si="53"/>
        <v>0</v>
      </c>
      <c r="AG115" s="293">
        <f t="shared" si="54"/>
        <v>0</v>
      </c>
      <c r="AH115" s="293">
        <f t="shared" si="55"/>
        <v>0</v>
      </c>
      <c r="AI115" s="1104">
        <f t="shared" si="56"/>
        <v>0</v>
      </c>
      <c r="AJ115" s="223"/>
      <c r="AK115" s="223">
        <f>IFERROR(VLOOKUP('C-sidumine'!Z23,'C-taust'!$C$95:$E$96, 3,FALSE)*$E$83,0)</f>
        <v>1</v>
      </c>
      <c r="AL115" s="305">
        <f t="shared" si="57"/>
        <v>4.5655329999999994</v>
      </c>
      <c r="AM115" s="293">
        <f t="shared" si="58"/>
        <v>60.656366999999996</v>
      </c>
      <c r="AN115" s="278">
        <f t="shared" si="23"/>
        <v>0</v>
      </c>
      <c r="AO115" s="278">
        <f t="shared" si="24"/>
        <v>0</v>
      </c>
      <c r="AP115" s="278">
        <f t="shared" si="25"/>
        <v>0</v>
      </c>
      <c r="AQ115" s="293">
        <f t="shared" si="59"/>
        <v>-0.71236905051930755</v>
      </c>
      <c r="AR115" s="293">
        <f t="shared" si="60"/>
        <v>-1.815392096484687</v>
      </c>
      <c r="AS115" s="293">
        <f t="shared" si="61"/>
        <v>-1.2225172092782954</v>
      </c>
      <c r="AT115" s="278">
        <f t="shared" si="62"/>
        <v>0</v>
      </c>
      <c r="AU115" s="278">
        <f t="shared" si="63"/>
        <v>0</v>
      </c>
      <c r="AV115" s="278">
        <f t="shared" si="64"/>
        <v>0</v>
      </c>
      <c r="AW115" s="293">
        <f t="shared" si="65"/>
        <v>0</v>
      </c>
      <c r="AX115" s="293">
        <f t="shared" si="66"/>
        <v>0</v>
      </c>
      <c r="AY115" s="293">
        <f t="shared" si="67"/>
        <v>0</v>
      </c>
      <c r="AZ115" s="1104">
        <f t="shared" si="68"/>
        <v>0</v>
      </c>
      <c r="BA115" s="223"/>
      <c r="BB115" s="223">
        <f>IFERROR(VLOOKUP('C-sidumine'!Z23,'C-taust'!$C$95:$E$96, 3,FALSE)*$E$84,0)</f>
        <v>0.98</v>
      </c>
      <c r="BC115" s="305">
        <f t="shared" si="26"/>
        <v>4.4026780000000008</v>
      </c>
      <c r="BD115" s="293">
        <f t="shared" si="27"/>
        <v>58.492722000000008</v>
      </c>
      <c r="BE115" s="278">
        <f t="shared" si="28"/>
        <v>0</v>
      </c>
      <c r="BF115" s="278">
        <f t="shared" si="29"/>
        <v>0</v>
      </c>
      <c r="BG115" s="278">
        <f t="shared" si="30"/>
        <v>0</v>
      </c>
      <c r="BH115" s="293">
        <f t="shared" si="69"/>
        <v>-0.67321929677656478</v>
      </c>
      <c r="BI115" s="293">
        <f t="shared" si="70"/>
        <v>-1.715623369204794</v>
      </c>
      <c r="BJ115" s="293">
        <f t="shared" si="71"/>
        <v>-1.1553311802746209</v>
      </c>
      <c r="BK115" s="278">
        <f t="shared" si="72"/>
        <v>0</v>
      </c>
      <c r="BL115" s="278">
        <f t="shared" si="73"/>
        <v>0</v>
      </c>
      <c r="BM115" s="278">
        <f t="shared" si="74"/>
        <v>0</v>
      </c>
      <c r="BN115" s="293">
        <f t="shared" si="75"/>
        <v>0</v>
      </c>
      <c r="BO115" s="293">
        <f t="shared" si="76"/>
        <v>0</v>
      </c>
      <c r="BP115" s="293">
        <f t="shared" si="77"/>
        <v>0</v>
      </c>
      <c r="BQ115" s="278">
        <f t="shared" si="78"/>
        <v>0</v>
      </c>
      <c r="BR115" s="223"/>
      <c r="BS115" s="1091">
        <f>IFERROR(VLOOKUP('C-sidumine'!Z23,'C-taust'!$C$95:$E$96, 3,FALSE)*$E$85,0)</f>
        <v>0.95</v>
      </c>
      <c r="BT115" s="305">
        <f t="shared" si="31"/>
        <v>3.9677400000000005</v>
      </c>
      <c r="BU115" s="293">
        <f t="shared" si="32"/>
        <v>52.714260000000003</v>
      </c>
      <c r="BV115" s="278">
        <f t="shared" si="33"/>
        <v>0</v>
      </c>
      <c r="BW115" s="278">
        <f t="shared" si="34"/>
        <v>0</v>
      </c>
      <c r="BX115" s="278">
        <f t="shared" si="35"/>
        <v>0</v>
      </c>
      <c r="BY115" s="293">
        <f t="shared" si="79"/>
        <v>-0.58813952668442093</v>
      </c>
      <c r="BZ115" s="293">
        <f t="shared" si="80"/>
        <v>-1.4988071809054597</v>
      </c>
      <c r="CA115" s="293">
        <f t="shared" si="81"/>
        <v>-1.0093233167616513</v>
      </c>
      <c r="CB115" s="278">
        <f t="shared" si="82"/>
        <v>0</v>
      </c>
      <c r="CC115" s="278">
        <f t="shared" si="83"/>
        <v>0</v>
      </c>
      <c r="CD115" s="278">
        <f t="shared" si="84"/>
        <v>0</v>
      </c>
      <c r="CE115" s="293">
        <f t="shared" si="85"/>
        <v>0</v>
      </c>
      <c r="CF115" s="293">
        <f t="shared" si="86"/>
        <v>0</v>
      </c>
      <c r="CG115" s="293">
        <f t="shared" si="87"/>
        <v>0</v>
      </c>
      <c r="CH115" s="278">
        <f t="shared" si="88"/>
        <v>0</v>
      </c>
      <c r="CI115" s="293"/>
      <c r="CJ115" s="1100"/>
    </row>
    <row r="116" spans="2:88" ht="17.5">
      <c r="B116" s="223">
        <f>IFERROR(VLOOKUP('C-sidumine'!Z24,'C-taust'!$C$95:$E$96, 3,FALSE)*$E$81,0)</f>
        <v>0.75</v>
      </c>
      <c r="C116" s="223">
        <f>'C-sidumine'!D24</f>
        <v>0</v>
      </c>
      <c r="D116" s="1097">
        <f t="shared" si="16"/>
        <v>4.6020519999999996</v>
      </c>
      <c r="E116" s="223">
        <f t="shared" si="17"/>
        <v>61.141547999999993</v>
      </c>
      <c r="F116" s="278">
        <f>'C-taust'!AB30</f>
        <v>0</v>
      </c>
      <c r="G116" s="278">
        <f t="shared" si="36"/>
        <v>0</v>
      </c>
      <c r="H116" s="278">
        <f t="shared" si="37"/>
        <v>0</v>
      </c>
      <c r="I116" s="293">
        <f t="shared" si="38"/>
        <v>-0.53855038617842876</v>
      </c>
      <c r="J116" s="293">
        <f t="shared" si="39"/>
        <v>-1.3724348550998668</v>
      </c>
      <c r="K116" s="293">
        <f t="shared" si="40"/>
        <v>-0.92422195305459387</v>
      </c>
      <c r="L116" s="278">
        <f t="shared" si="41"/>
        <v>0</v>
      </c>
      <c r="M116" s="278">
        <f t="shared" si="42"/>
        <v>0</v>
      </c>
      <c r="N116" s="278">
        <f t="shared" si="43"/>
        <v>0</v>
      </c>
      <c r="O116" s="293">
        <f t="shared" si="44"/>
        <v>0</v>
      </c>
      <c r="P116" s="293">
        <f t="shared" si="45"/>
        <v>0</v>
      </c>
      <c r="Q116" s="293">
        <f t="shared" si="46"/>
        <v>0</v>
      </c>
      <c r="R116" s="1104">
        <f t="shared" si="47"/>
        <v>0</v>
      </c>
      <c r="S116" s="293"/>
      <c r="T116" s="223">
        <f>IFERROR(VLOOKUP('C-sidumine'!Z24,'C-taust'!$C$95:$E$96, 3,FALSE)*$E$82,0)</f>
        <v>0.96</v>
      </c>
      <c r="U116" s="305">
        <f t="shared" si="18"/>
        <v>4.6020519999999996</v>
      </c>
      <c r="V116" s="293">
        <f t="shared" si="19"/>
        <v>61.141547999999993</v>
      </c>
      <c r="W116" s="278">
        <f t="shared" si="20"/>
        <v>0</v>
      </c>
      <c r="X116" s="278">
        <f t="shared" si="21"/>
        <v>0</v>
      </c>
      <c r="Y116" s="278">
        <f t="shared" si="22"/>
        <v>0</v>
      </c>
      <c r="Z116" s="293">
        <f t="shared" si="48"/>
        <v>-0.68934449430838873</v>
      </c>
      <c r="AA116" s="293">
        <f t="shared" si="49"/>
        <v>-1.7567166145278295</v>
      </c>
      <c r="AB116" s="293">
        <f t="shared" si="89"/>
        <v>-1.1830040999098801</v>
      </c>
      <c r="AC116" s="278">
        <f t="shared" si="50"/>
        <v>0</v>
      </c>
      <c r="AD116" s="278">
        <f t="shared" si="51"/>
        <v>0</v>
      </c>
      <c r="AE116" s="278">
        <f t="shared" si="52"/>
        <v>0</v>
      </c>
      <c r="AF116" s="293">
        <f t="shared" si="53"/>
        <v>0</v>
      </c>
      <c r="AG116" s="293">
        <f t="shared" si="54"/>
        <v>0</v>
      </c>
      <c r="AH116" s="293">
        <f t="shared" si="55"/>
        <v>0</v>
      </c>
      <c r="AI116" s="1104">
        <f t="shared" si="56"/>
        <v>0</v>
      </c>
      <c r="AJ116" s="223"/>
      <c r="AK116" s="223">
        <f>IFERROR(VLOOKUP('C-sidumine'!Z24,'C-taust'!$C$95:$E$96, 3,FALSE)*$E$83,0)</f>
        <v>1</v>
      </c>
      <c r="AL116" s="305">
        <f t="shared" si="57"/>
        <v>4.5655329999999994</v>
      </c>
      <c r="AM116" s="293">
        <f t="shared" si="58"/>
        <v>60.656366999999996</v>
      </c>
      <c r="AN116" s="278">
        <f t="shared" si="23"/>
        <v>0</v>
      </c>
      <c r="AO116" s="278">
        <f t="shared" si="24"/>
        <v>0</v>
      </c>
      <c r="AP116" s="278">
        <f t="shared" si="25"/>
        <v>0</v>
      </c>
      <c r="AQ116" s="293">
        <f t="shared" si="59"/>
        <v>-0.71236905051930755</v>
      </c>
      <c r="AR116" s="293">
        <f t="shared" si="60"/>
        <v>-1.815392096484687</v>
      </c>
      <c r="AS116" s="293">
        <f t="shared" si="61"/>
        <v>-1.2225172092782954</v>
      </c>
      <c r="AT116" s="278">
        <f t="shared" si="62"/>
        <v>0</v>
      </c>
      <c r="AU116" s="278">
        <f t="shared" si="63"/>
        <v>0</v>
      </c>
      <c r="AV116" s="278">
        <f t="shared" si="64"/>
        <v>0</v>
      </c>
      <c r="AW116" s="293">
        <f t="shared" si="65"/>
        <v>0</v>
      </c>
      <c r="AX116" s="293">
        <f t="shared" si="66"/>
        <v>0</v>
      </c>
      <c r="AY116" s="293">
        <f t="shared" si="67"/>
        <v>0</v>
      </c>
      <c r="AZ116" s="1104">
        <f t="shared" si="68"/>
        <v>0</v>
      </c>
      <c r="BA116" s="223"/>
      <c r="BB116" s="223">
        <f>IFERROR(VLOOKUP('C-sidumine'!Z24,'C-taust'!$C$95:$E$96, 3,FALSE)*$E$84,0)</f>
        <v>0.98</v>
      </c>
      <c r="BC116" s="305">
        <f t="shared" si="26"/>
        <v>4.4026780000000008</v>
      </c>
      <c r="BD116" s="293">
        <f t="shared" si="27"/>
        <v>58.492722000000008</v>
      </c>
      <c r="BE116" s="278">
        <f t="shared" si="28"/>
        <v>0</v>
      </c>
      <c r="BF116" s="278">
        <f t="shared" si="29"/>
        <v>0</v>
      </c>
      <c r="BG116" s="278">
        <f t="shared" si="30"/>
        <v>0</v>
      </c>
      <c r="BH116" s="293">
        <f t="shared" si="69"/>
        <v>-0.67321929677656478</v>
      </c>
      <c r="BI116" s="293">
        <f t="shared" si="70"/>
        <v>-1.715623369204794</v>
      </c>
      <c r="BJ116" s="293">
        <f t="shared" si="71"/>
        <v>-1.1553311802746209</v>
      </c>
      <c r="BK116" s="278">
        <f t="shared" si="72"/>
        <v>0</v>
      </c>
      <c r="BL116" s="278">
        <f t="shared" si="73"/>
        <v>0</v>
      </c>
      <c r="BM116" s="278">
        <f t="shared" si="74"/>
        <v>0</v>
      </c>
      <c r="BN116" s="293">
        <f t="shared" si="75"/>
        <v>0</v>
      </c>
      <c r="BO116" s="293">
        <f t="shared" si="76"/>
        <v>0</v>
      </c>
      <c r="BP116" s="293">
        <f t="shared" si="77"/>
        <v>0</v>
      </c>
      <c r="BQ116" s="278">
        <f t="shared" si="78"/>
        <v>0</v>
      </c>
      <c r="BR116" s="223"/>
      <c r="BS116" s="1091">
        <f>IFERROR(VLOOKUP('C-sidumine'!Z24,'C-taust'!$C$95:$E$96, 3,FALSE)*$E$85,0)</f>
        <v>0.95</v>
      </c>
      <c r="BT116" s="305">
        <f t="shared" si="31"/>
        <v>3.9677400000000005</v>
      </c>
      <c r="BU116" s="293">
        <f t="shared" si="32"/>
        <v>52.714260000000003</v>
      </c>
      <c r="BV116" s="278">
        <f t="shared" si="33"/>
        <v>0</v>
      </c>
      <c r="BW116" s="278">
        <f t="shared" si="34"/>
        <v>0</v>
      </c>
      <c r="BX116" s="278">
        <f t="shared" si="35"/>
        <v>0</v>
      </c>
      <c r="BY116" s="293">
        <f t="shared" si="79"/>
        <v>-0.58813952668442093</v>
      </c>
      <c r="BZ116" s="293">
        <f t="shared" si="80"/>
        <v>-1.4988071809054597</v>
      </c>
      <c r="CA116" s="293">
        <f t="shared" si="81"/>
        <v>-1.0093233167616513</v>
      </c>
      <c r="CB116" s="278">
        <f t="shared" si="82"/>
        <v>0</v>
      </c>
      <c r="CC116" s="278">
        <f t="shared" si="83"/>
        <v>0</v>
      </c>
      <c r="CD116" s="278">
        <f t="shared" si="84"/>
        <v>0</v>
      </c>
      <c r="CE116" s="293">
        <f t="shared" si="85"/>
        <v>0</v>
      </c>
      <c r="CF116" s="293">
        <f t="shared" si="86"/>
        <v>0</v>
      </c>
      <c r="CG116" s="293">
        <f t="shared" si="87"/>
        <v>0</v>
      </c>
      <c r="CH116" s="278">
        <f t="shared" si="88"/>
        <v>0</v>
      </c>
      <c r="CI116" s="293"/>
      <c r="CJ116" s="1100"/>
    </row>
    <row r="117" spans="2:88" ht="17.5">
      <c r="B117" s="223">
        <f>IFERROR(VLOOKUP('C-sidumine'!Z25,'C-taust'!$C$95:$E$96, 3,FALSE)*$E$81,0)</f>
        <v>0.75</v>
      </c>
      <c r="C117" s="223">
        <f>'C-sidumine'!D25</f>
        <v>0</v>
      </c>
      <c r="D117" s="1097">
        <f t="shared" si="16"/>
        <v>4.6020519999999996</v>
      </c>
      <c r="E117" s="223">
        <f t="shared" si="17"/>
        <v>61.141547999999993</v>
      </c>
      <c r="F117" s="278">
        <f>'C-taust'!AB31</f>
        <v>0</v>
      </c>
      <c r="G117" s="278">
        <f t="shared" si="36"/>
        <v>0</v>
      </c>
      <c r="H117" s="278">
        <f t="shared" si="37"/>
        <v>0</v>
      </c>
      <c r="I117" s="293">
        <f t="shared" si="38"/>
        <v>-0.53855038617842876</v>
      </c>
      <c r="J117" s="293">
        <f t="shared" si="39"/>
        <v>-1.3724348550998668</v>
      </c>
      <c r="K117" s="293">
        <f t="shared" si="40"/>
        <v>-0.92422195305459387</v>
      </c>
      <c r="L117" s="278">
        <f t="shared" si="41"/>
        <v>0</v>
      </c>
      <c r="M117" s="278">
        <f t="shared" si="42"/>
        <v>0</v>
      </c>
      <c r="N117" s="278">
        <f t="shared" si="43"/>
        <v>0</v>
      </c>
      <c r="O117" s="293">
        <f t="shared" si="44"/>
        <v>0</v>
      </c>
      <c r="P117" s="293">
        <f t="shared" si="45"/>
        <v>0</v>
      </c>
      <c r="Q117" s="293">
        <f t="shared" si="46"/>
        <v>0</v>
      </c>
      <c r="R117" s="1104">
        <f t="shared" si="47"/>
        <v>0</v>
      </c>
      <c r="S117" s="293"/>
      <c r="T117" s="223">
        <f>IFERROR(VLOOKUP('C-sidumine'!Z25,'C-taust'!$C$95:$E$96, 3,FALSE)*$E$82,0)</f>
        <v>0.96</v>
      </c>
      <c r="U117" s="305">
        <f t="shared" si="18"/>
        <v>4.6020519999999996</v>
      </c>
      <c r="V117" s="293">
        <f t="shared" si="19"/>
        <v>61.141547999999993</v>
      </c>
      <c r="W117" s="278">
        <f t="shared" si="20"/>
        <v>0</v>
      </c>
      <c r="X117" s="278">
        <f t="shared" si="21"/>
        <v>0</v>
      </c>
      <c r="Y117" s="278">
        <f t="shared" si="22"/>
        <v>0</v>
      </c>
      <c r="Z117" s="293">
        <f t="shared" si="48"/>
        <v>-0.68934449430838873</v>
      </c>
      <c r="AA117" s="293">
        <f t="shared" si="49"/>
        <v>-1.7567166145278295</v>
      </c>
      <c r="AB117" s="293">
        <f t="shared" si="89"/>
        <v>-1.1830040999098801</v>
      </c>
      <c r="AC117" s="278">
        <f t="shared" si="50"/>
        <v>0</v>
      </c>
      <c r="AD117" s="278">
        <f t="shared" si="51"/>
        <v>0</v>
      </c>
      <c r="AE117" s="278">
        <f t="shared" si="52"/>
        <v>0</v>
      </c>
      <c r="AF117" s="293">
        <f t="shared" si="53"/>
        <v>0</v>
      </c>
      <c r="AG117" s="293">
        <f t="shared" si="54"/>
        <v>0</v>
      </c>
      <c r="AH117" s="293">
        <f t="shared" si="55"/>
        <v>0</v>
      </c>
      <c r="AI117" s="1104">
        <f t="shared" si="56"/>
        <v>0</v>
      </c>
      <c r="AJ117" s="223"/>
      <c r="AK117" s="223">
        <f>IFERROR(VLOOKUP('C-sidumine'!Z25,'C-taust'!$C$95:$E$96, 3,FALSE)*$E$83,0)</f>
        <v>1</v>
      </c>
      <c r="AL117" s="305">
        <f t="shared" si="57"/>
        <v>4.5655329999999994</v>
      </c>
      <c r="AM117" s="293">
        <f t="shared" si="58"/>
        <v>60.656366999999996</v>
      </c>
      <c r="AN117" s="278">
        <f t="shared" si="23"/>
        <v>0</v>
      </c>
      <c r="AO117" s="278">
        <f t="shared" si="24"/>
        <v>0</v>
      </c>
      <c r="AP117" s="278">
        <f t="shared" si="25"/>
        <v>0</v>
      </c>
      <c r="AQ117" s="293">
        <f t="shared" si="59"/>
        <v>-0.71236905051930755</v>
      </c>
      <c r="AR117" s="293">
        <f t="shared" si="60"/>
        <v>-1.815392096484687</v>
      </c>
      <c r="AS117" s="293">
        <f t="shared" si="61"/>
        <v>-1.2225172092782954</v>
      </c>
      <c r="AT117" s="278">
        <f t="shared" si="62"/>
        <v>0</v>
      </c>
      <c r="AU117" s="278">
        <f t="shared" si="63"/>
        <v>0</v>
      </c>
      <c r="AV117" s="278">
        <f t="shared" si="64"/>
        <v>0</v>
      </c>
      <c r="AW117" s="293">
        <f t="shared" si="65"/>
        <v>0</v>
      </c>
      <c r="AX117" s="293">
        <f t="shared" si="66"/>
        <v>0</v>
      </c>
      <c r="AY117" s="293">
        <f t="shared" si="67"/>
        <v>0</v>
      </c>
      <c r="AZ117" s="1104">
        <f t="shared" si="68"/>
        <v>0</v>
      </c>
      <c r="BA117" s="223"/>
      <c r="BB117" s="223">
        <f>IFERROR(VLOOKUP('C-sidumine'!Z25,'C-taust'!$C$95:$E$96, 3,FALSE)*$E$84,0)</f>
        <v>0.98</v>
      </c>
      <c r="BC117" s="305">
        <f t="shared" si="26"/>
        <v>4.4026780000000008</v>
      </c>
      <c r="BD117" s="293">
        <f t="shared" si="27"/>
        <v>58.492722000000008</v>
      </c>
      <c r="BE117" s="278">
        <f t="shared" si="28"/>
        <v>0</v>
      </c>
      <c r="BF117" s="278">
        <f t="shared" si="29"/>
        <v>0</v>
      </c>
      <c r="BG117" s="278">
        <f t="shared" si="30"/>
        <v>0</v>
      </c>
      <c r="BH117" s="293">
        <f t="shared" si="69"/>
        <v>-0.67321929677656478</v>
      </c>
      <c r="BI117" s="293">
        <f t="shared" si="70"/>
        <v>-1.715623369204794</v>
      </c>
      <c r="BJ117" s="293">
        <f t="shared" si="71"/>
        <v>-1.1553311802746209</v>
      </c>
      <c r="BK117" s="278">
        <f t="shared" si="72"/>
        <v>0</v>
      </c>
      <c r="BL117" s="278">
        <f t="shared" si="73"/>
        <v>0</v>
      </c>
      <c r="BM117" s="278">
        <f t="shared" si="74"/>
        <v>0</v>
      </c>
      <c r="BN117" s="293">
        <f t="shared" si="75"/>
        <v>0</v>
      </c>
      <c r="BO117" s="293">
        <f t="shared" si="76"/>
        <v>0</v>
      </c>
      <c r="BP117" s="293">
        <f t="shared" si="77"/>
        <v>0</v>
      </c>
      <c r="BQ117" s="278">
        <f t="shared" si="78"/>
        <v>0</v>
      </c>
      <c r="BR117" s="223"/>
      <c r="BS117" s="1091">
        <f>IFERROR(VLOOKUP('C-sidumine'!Z25,'C-taust'!$C$95:$E$96, 3,FALSE)*$E$85,0)</f>
        <v>0.95</v>
      </c>
      <c r="BT117" s="305">
        <f t="shared" si="31"/>
        <v>3.9677400000000005</v>
      </c>
      <c r="BU117" s="293">
        <f t="shared" si="32"/>
        <v>52.714260000000003</v>
      </c>
      <c r="BV117" s="278">
        <f t="shared" si="33"/>
        <v>0</v>
      </c>
      <c r="BW117" s="278">
        <f t="shared" si="34"/>
        <v>0</v>
      </c>
      <c r="BX117" s="278">
        <f t="shared" si="35"/>
        <v>0</v>
      </c>
      <c r="BY117" s="293">
        <f t="shared" si="79"/>
        <v>-0.58813952668442093</v>
      </c>
      <c r="BZ117" s="293">
        <f t="shared" si="80"/>
        <v>-1.4988071809054597</v>
      </c>
      <c r="CA117" s="293">
        <f t="shared" si="81"/>
        <v>-1.0093233167616513</v>
      </c>
      <c r="CB117" s="278">
        <f t="shared" si="82"/>
        <v>0</v>
      </c>
      <c r="CC117" s="278">
        <f t="shared" si="83"/>
        <v>0</v>
      </c>
      <c r="CD117" s="278">
        <f t="shared" si="84"/>
        <v>0</v>
      </c>
      <c r="CE117" s="293">
        <f t="shared" si="85"/>
        <v>0</v>
      </c>
      <c r="CF117" s="293">
        <f t="shared" si="86"/>
        <v>0</v>
      </c>
      <c r="CG117" s="293">
        <f t="shared" si="87"/>
        <v>0</v>
      </c>
      <c r="CH117" s="278">
        <f t="shared" si="88"/>
        <v>0</v>
      </c>
      <c r="CI117" s="223"/>
      <c r="CJ117" s="1092"/>
    </row>
    <row r="118" spans="2:88" ht="17.5">
      <c r="B118" s="223">
        <f>IFERROR(VLOOKUP('C-sidumine'!Z26,'C-taust'!$C$95:$E$96, 3,FALSE)*$E$81,0)</f>
        <v>0.75</v>
      </c>
      <c r="C118" s="223">
        <f>'C-sidumine'!D26</f>
        <v>0</v>
      </c>
      <c r="D118" s="1097">
        <f t="shared" si="16"/>
        <v>4.6020519999999996</v>
      </c>
      <c r="E118" s="223">
        <f t="shared" si="17"/>
        <v>61.141547999999993</v>
      </c>
      <c r="F118" s="278">
        <f>'C-taust'!AB32</f>
        <v>0</v>
      </c>
      <c r="G118" s="278">
        <f t="shared" si="36"/>
        <v>0</v>
      </c>
      <c r="H118" s="278">
        <f t="shared" si="37"/>
        <v>0</v>
      </c>
      <c r="I118" s="293">
        <f t="shared" si="38"/>
        <v>-0.53855038617842876</v>
      </c>
      <c r="J118" s="293">
        <f t="shared" si="39"/>
        <v>-1.3724348550998668</v>
      </c>
      <c r="K118" s="293">
        <f t="shared" si="40"/>
        <v>-0.92422195305459387</v>
      </c>
      <c r="L118" s="278">
        <f t="shared" si="41"/>
        <v>0</v>
      </c>
      <c r="M118" s="278">
        <f t="shared" si="42"/>
        <v>0</v>
      </c>
      <c r="N118" s="278">
        <f t="shared" si="43"/>
        <v>0</v>
      </c>
      <c r="O118" s="293">
        <f t="shared" si="44"/>
        <v>0</v>
      </c>
      <c r="P118" s="293">
        <f t="shared" si="45"/>
        <v>0</v>
      </c>
      <c r="Q118" s="293">
        <f t="shared" si="46"/>
        <v>0</v>
      </c>
      <c r="R118" s="1104">
        <f t="shared" si="47"/>
        <v>0</v>
      </c>
      <c r="S118" s="293"/>
      <c r="T118" s="223">
        <f>IFERROR(VLOOKUP('C-sidumine'!Z26,'C-taust'!$C$95:$E$96, 3,FALSE)*$E$82,0)</f>
        <v>0.96</v>
      </c>
      <c r="U118" s="305">
        <f t="shared" si="18"/>
        <v>4.6020519999999996</v>
      </c>
      <c r="V118" s="293">
        <f t="shared" si="19"/>
        <v>61.141547999999993</v>
      </c>
      <c r="W118" s="278">
        <f t="shared" si="20"/>
        <v>0</v>
      </c>
      <c r="X118" s="278">
        <f t="shared" si="21"/>
        <v>0</v>
      </c>
      <c r="Y118" s="278">
        <f t="shared" si="22"/>
        <v>0</v>
      </c>
      <c r="Z118" s="293">
        <f t="shared" si="48"/>
        <v>-0.68934449430838873</v>
      </c>
      <c r="AA118" s="293">
        <f t="shared" si="49"/>
        <v>-1.7567166145278295</v>
      </c>
      <c r="AB118" s="293">
        <f t="shared" si="89"/>
        <v>-1.1830040999098801</v>
      </c>
      <c r="AC118" s="278">
        <f t="shared" si="50"/>
        <v>0</v>
      </c>
      <c r="AD118" s="278">
        <f t="shared" si="51"/>
        <v>0</v>
      </c>
      <c r="AE118" s="278">
        <f t="shared" si="52"/>
        <v>0</v>
      </c>
      <c r="AF118" s="293">
        <f t="shared" si="53"/>
        <v>0</v>
      </c>
      <c r="AG118" s="293">
        <f t="shared" si="54"/>
        <v>0</v>
      </c>
      <c r="AH118" s="293">
        <f t="shared" si="55"/>
        <v>0</v>
      </c>
      <c r="AI118" s="1104">
        <f t="shared" si="56"/>
        <v>0</v>
      </c>
      <c r="AJ118" s="223"/>
      <c r="AK118" s="223">
        <f>IFERROR(VLOOKUP('C-sidumine'!Z26,'C-taust'!$C$95:$E$96, 3,FALSE)*$E$83,0)</f>
        <v>1</v>
      </c>
      <c r="AL118" s="305">
        <f t="shared" si="57"/>
        <v>4.5655329999999994</v>
      </c>
      <c r="AM118" s="293">
        <f t="shared" si="58"/>
        <v>60.656366999999996</v>
      </c>
      <c r="AN118" s="278">
        <f t="shared" si="23"/>
        <v>0</v>
      </c>
      <c r="AO118" s="278">
        <f t="shared" si="24"/>
        <v>0</v>
      </c>
      <c r="AP118" s="278">
        <f t="shared" si="25"/>
        <v>0</v>
      </c>
      <c r="AQ118" s="293">
        <f t="shared" si="59"/>
        <v>-0.71236905051930755</v>
      </c>
      <c r="AR118" s="293">
        <f t="shared" si="60"/>
        <v>-1.815392096484687</v>
      </c>
      <c r="AS118" s="293">
        <f t="shared" si="61"/>
        <v>-1.2225172092782954</v>
      </c>
      <c r="AT118" s="278">
        <f t="shared" si="62"/>
        <v>0</v>
      </c>
      <c r="AU118" s="278">
        <f t="shared" si="63"/>
        <v>0</v>
      </c>
      <c r="AV118" s="278">
        <f t="shared" si="64"/>
        <v>0</v>
      </c>
      <c r="AW118" s="293">
        <f t="shared" si="65"/>
        <v>0</v>
      </c>
      <c r="AX118" s="293">
        <f t="shared" si="66"/>
        <v>0</v>
      </c>
      <c r="AY118" s="293">
        <f t="shared" si="67"/>
        <v>0</v>
      </c>
      <c r="AZ118" s="1104">
        <f t="shared" si="68"/>
        <v>0</v>
      </c>
      <c r="BA118" s="223"/>
      <c r="BB118" s="223">
        <f>IFERROR(VLOOKUP('C-sidumine'!Z26,'C-taust'!$C$95:$E$96, 3,FALSE)*$E$84,0)</f>
        <v>0.98</v>
      </c>
      <c r="BC118" s="305">
        <f t="shared" si="26"/>
        <v>4.4026780000000008</v>
      </c>
      <c r="BD118" s="293">
        <f t="shared" si="27"/>
        <v>58.492722000000008</v>
      </c>
      <c r="BE118" s="278">
        <f t="shared" si="28"/>
        <v>0</v>
      </c>
      <c r="BF118" s="278">
        <f t="shared" si="29"/>
        <v>0</v>
      </c>
      <c r="BG118" s="278">
        <f t="shared" si="30"/>
        <v>0</v>
      </c>
      <c r="BH118" s="293">
        <f t="shared" si="69"/>
        <v>-0.67321929677656478</v>
      </c>
      <c r="BI118" s="293">
        <f t="shared" si="70"/>
        <v>-1.715623369204794</v>
      </c>
      <c r="BJ118" s="293">
        <f t="shared" si="71"/>
        <v>-1.1553311802746209</v>
      </c>
      <c r="BK118" s="278">
        <f t="shared" si="72"/>
        <v>0</v>
      </c>
      <c r="BL118" s="278">
        <f t="shared" si="73"/>
        <v>0</v>
      </c>
      <c r="BM118" s="278">
        <f t="shared" si="74"/>
        <v>0</v>
      </c>
      <c r="BN118" s="293">
        <f t="shared" si="75"/>
        <v>0</v>
      </c>
      <c r="BO118" s="293">
        <f t="shared" si="76"/>
        <v>0</v>
      </c>
      <c r="BP118" s="293">
        <f t="shared" si="77"/>
        <v>0</v>
      </c>
      <c r="BQ118" s="278">
        <f t="shared" si="78"/>
        <v>0</v>
      </c>
      <c r="BR118" s="223"/>
      <c r="BS118" s="1091">
        <f>IFERROR(VLOOKUP('C-sidumine'!Z26,'C-taust'!$C$95:$E$96, 3,FALSE)*$E$85,0)</f>
        <v>0.95</v>
      </c>
      <c r="BT118" s="305">
        <f t="shared" si="31"/>
        <v>3.9677400000000005</v>
      </c>
      <c r="BU118" s="293">
        <f t="shared" si="32"/>
        <v>52.714260000000003</v>
      </c>
      <c r="BV118" s="278">
        <f t="shared" si="33"/>
        <v>0</v>
      </c>
      <c r="BW118" s="278">
        <f t="shared" si="34"/>
        <v>0</v>
      </c>
      <c r="BX118" s="278">
        <f t="shared" si="35"/>
        <v>0</v>
      </c>
      <c r="BY118" s="293">
        <f t="shared" si="79"/>
        <v>-0.58813952668442093</v>
      </c>
      <c r="BZ118" s="293">
        <f t="shared" si="80"/>
        <v>-1.4988071809054597</v>
      </c>
      <c r="CA118" s="293">
        <f t="shared" si="81"/>
        <v>-1.0093233167616513</v>
      </c>
      <c r="CB118" s="278">
        <f t="shared" si="82"/>
        <v>0</v>
      </c>
      <c r="CC118" s="278">
        <f t="shared" si="83"/>
        <v>0</v>
      </c>
      <c r="CD118" s="278">
        <f t="shared" si="84"/>
        <v>0</v>
      </c>
      <c r="CE118" s="293">
        <f t="shared" si="85"/>
        <v>0</v>
      </c>
      <c r="CF118" s="293">
        <f t="shared" si="86"/>
        <v>0</v>
      </c>
      <c r="CG118" s="293">
        <f t="shared" si="87"/>
        <v>0</v>
      </c>
      <c r="CH118" s="278">
        <f t="shared" si="88"/>
        <v>0</v>
      </c>
      <c r="CI118" s="223"/>
      <c r="CJ118" s="1092"/>
    </row>
    <row r="119" spans="2:88" ht="17.5">
      <c r="B119" s="223">
        <f>IFERROR(VLOOKUP('C-sidumine'!Z27,'C-taust'!$C$95:$E$96, 3,FALSE)*$E$81,0)</f>
        <v>0.75</v>
      </c>
      <c r="C119" s="223">
        <f>'C-sidumine'!D27</f>
        <v>0</v>
      </c>
      <c r="D119" s="1097">
        <f t="shared" si="16"/>
        <v>4.6020519999999996</v>
      </c>
      <c r="E119" s="223">
        <f t="shared" si="17"/>
        <v>61.141547999999993</v>
      </c>
      <c r="F119" s="278">
        <f>'C-taust'!AB33</f>
        <v>0</v>
      </c>
      <c r="G119" s="278">
        <f t="shared" si="36"/>
        <v>0</v>
      </c>
      <c r="H119" s="278">
        <f t="shared" si="37"/>
        <v>0</v>
      </c>
      <c r="I119" s="293">
        <f t="shared" si="38"/>
        <v>-0.53855038617842876</v>
      </c>
      <c r="J119" s="293">
        <f t="shared" si="39"/>
        <v>-1.3724348550998668</v>
      </c>
      <c r="K119" s="293">
        <f t="shared" si="40"/>
        <v>-0.92422195305459387</v>
      </c>
      <c r="L119" s="278">
        <f t="shared" si="41"/>
        <v>0</v>
      </c>
      <c r="M119" s="278">
        <f t="shared" si="42"/>
        <v>0</v>
      </c>
      <c r="N119" s="278">
        <f t="shared" si="43"/>
        <v>0</v>
      </c>
      <c r="O119" s="293">
        <f t="shared" si="44"/>
        <v>0</v>
      </c>
      <c r="P119" s="293">
        <f t="shared" si="45"/>
        <v>0</v>
      </c>
      <c r="Q119" s="293">
        <f t="shared" si="46"/>
        <v>0</v>
      </c>
      <c r="R119" s="1104">
        <f t="shared" si="47"/>
        <v>0</v>
      </c>
      <c r="S119" s="293"/>
      <c r="T119" s="223">
        <f>IFERROR(VLOOKUP('C-sidumine'!Z27,'C-taust'!$C$95:$E$96, 3,FALSE)*$E$82,0)</f>
        <v>0.96</v>
      </c>
      <c r="U119" s="305">
        <f t="shared" si="18"/>
        <v>4.6020519999999996</v>
      </c>
      <c r="V119" s="293">
        <f t="shared" si="19"/>
        <v>61.141547999999993</v>
      </c>
      <c r="W119" s="278">
        <f t="shared" si="20"/>
        <v>0</v>
      </c>
      <c r="X119" s="278">
        <f t="shared" si="21"/>
        <v>0</v>
      </c>
      <c r="Y119" s="278">
        <f t="shared" si="22"/>
        <v>0</v>
      </c>
      <c r="Z119" s="293">
        <f t="shared" si="48"/>
        <v>-0.68934449430838873</v>
      </c>
      <c r="AA119" s="293">
        <f t="shared" si="49"/>
        <v>-1.7567166145278295</v>
      </c>
      <c r="AB119" s="293">
        <f t="shared" si="89"/>
        <v>-1.1830040999098801</v>
      </c>
      <c r="AC119" s="278">
        <f t="shared" si="50"/>
        <v>0</v>
      </c>
      <c r="AD119" s="278">
        <f t="shared" si="51"/>
        <v>0</v>
      </c>
      <c r="AE119" s="278">
        <f t="shared" si="52"/>
        <v>0</v>
      </c>
      <c r="AF119" s="293">
        <f t="shared" si="53"/>
        <v>0</v>
      </c>
      <c r="AG119" s="293">
        <f t="shared" si="54"/>
        <v>0</v>
      </c>
      <c r="AH119" s="293">
        <f t="shared" si="55"/>
        <v>0</v>
      </c>
      <c r="AI119" s="1104">
        <f t="shared" si="56"/>
        <v>0</v>
      </c>
      <c r="AJ119" s="223"/>
      <c r="AK119" s="223">
        <f>IFERROR(VLOOKUP('C-sidumine'!Z27,'C-taust'!$C$95:$E$96, 3,FALSE)*$E$83,0)</f>
        <v>1</v>
      </c>
      <c r="AL119" s="305">
        <f t="shared" si="57"/>
        <v>4.5655329999999994</v>
      </c>
      <c r="AM119" s="293">
        <f t="shared" si="58"/>
        <v>60.656366999999996</v>
      </c>
      <c r="AN119" s="278">
        <f t="shared" si="23"/>
        <v>0</v>
      </c>
      <c r="AO119" s="278">
        <f t="shared" si="24"/>
        <v>0</v>
      </c>
      <c r="AP119" s="278">
        <f t="shared" si="25"/>
        <v>0</v>
      </c>
      <c r="AQ119" s="293">
        <f t="shared" si="59"/>
        <v>-0.71236905051930755</v>
      </c>
      <c r="AR119" s="293">
        <f t="shared" si="60"/>
        <v>-1.815392096484687</v>
      </c>
      <c r="AS119" s="293">
        <f t="shared" si="61"/>
        <v>-1.2225172092782954</v>
      </c>
      <c r="AT119" s="278">
        <f t="shared" si="62"/>
        <v>0</v>
      </c>
      <c r="AU119" s="278">
        <f t="shared" si="63"/>
        <v>0</v>
      </c>
      <c r="AV119" s="278">
        <f t="shared" si="64"/>
        <v>0</v>
      </c>
      <c r="AW119" s="293">
        <f t="shared" si="65"/>
        <v>0</v>
      </c>
      <c r="AX119" s="293">
        <f t="shared" si="66"/>
        <v>0</v>
      </c>
      <c r="AY119" s="293">
        <f t="shared" si="67"/>
        <v>0</v>
      </c>
      <c r="AZ119" s="1104">
        <f t="shared" si="68"/>
        <v>0</v>
      </c>
      <c r="BA119" s="223"/>
      <c r="BB119" s="223">
        <f>IFERROR(VLOOKUP('C-sidumine'!Z27,'C-taust'!$C$95:$E$96, 3,FALSE)*$E$84,0)</f>
        <v>0.98</v>
      </c>
      <c r="BC119" s="305">
        <f t="shared" si="26"/>
        <v>4.4026780000000008</v>
      </c>
      <c r="BD119" s="293">
        <f t="shared" si="27"/>
        <v>58.492722000000008</v>
      </c>
      <c r="BE119" s="278">
        <f t="shared" si="28"/>
        <v>0</v>
      </c>
      <c r="BF119" s="278">
        <f t="shared" si="29"/>
        <v>0</v>
      </c>
      <c r="BG119" s="278">
        <f t="shared" si="30"/>
        <v>0</v>
      </c>
      <c r="BH119" s="293">
        <f t="shared" si="69"/>
        <v>-0.67321929677656478</v>
      </c>
      <c r="BI119" s="293">
        <f t="shared" si="70"/>
        <v>-1.715623369204794</v>
      </c>
      <c r="BJ119" s="293">
        <f t="shared" si="71"/>
        <v>-1.1553311802746209</v>
      </c>
      <c r="BK119" s="278">
        <f t="shared" si="72"/>
        <v>0</v>
      </c>
      <c r="BL119" s="278">
        <f t="shared" si="73"/>
        <v>0</v>
      </c>
      <c r="BM119" s="278">
        <f t="shared" si="74"/>
        <v>0</v>
      </c>
      <c r="BN119" s="293">
        <f t="shared" si="75"/>
        <v>0</v>
      </c>
      <c r="BO119" s="293">
        <f t="shared" si="76"/>
        <v>0</v>
      </c>
      <c r="BP119" s="293">
        <f t="shared" si="77"/>
        <v>0</v>
      </c>
      <c r="BQ119" s="278">
        <f t="shared" si="78"/>
        <v>0</v>
      </c>
      <c r="BR119" s="223"/>
      <c r="BS119" s="1091">
        <f>IFERROR(VLOOKUP('C-sidumine'!Z27,'C-taust'!$C$95:$E$96, 3,FALSE)*$E$85,0)</f>
        <v>0.95</v>
      </c>
      <c r="BT119" s="305">
        <f t="shared" si="31"/>
        <v>3.9677400000000005</v>
      </c>
      <c r="BU119" s="293">
        <f t="shared" si="32"/>
        <v>52.714260000000003</v>
      </c>
      <c r="BV119" s="278">
        <f t="shared" si="33"/>
        <v>0</v>
      </c>
      <c r="BW119" s="278">
        <f t="shared" si="34"/>
        <v>0</v>
      </c>
      <c r="BX119" s="278">
        <f t="shared" si="35"/>
        <v>0</v>
      </c>
      <c r="BY119" s="293">
        <f t="shared" si="79"/>
        <v>-0.58813952668442093</v>
      </c>
      <c r="BZ119" s="293">
        <f t="shared" si="80"/>
        <v>-1.4988071809054597</v>
      </c>
      <c r="CA119" s="293">
        <f t="shared" si="81"/>
        <v>-1.0093233167616513</v>
      </c>
      <c r="CB119" s="278">
        <f t="shared" si="82"/>
        <v>0</v>
      </c>
      <c r="CC119" s="278">
        <f t="shared" si="83"/>
        <v>0</v>
      </c>
      <c r="CD119" s="278">
        <f t="shared" si="84"/>
        <v>0</v>
      </c>
      <c r="CE119" s="293">
        <f t="shared" si="85"/>
        <v>0</v>
      </c>
      <c r="CF119" s="293">
        <f t="shared" si="86"/>
        <v>0</v>
      </c>
      <c r="CG119" s="293">
        <f t="shared" si="87"/>
        <v>0</v>
      </c>
      <c r="CH119" s="278">
        <f t="shared" si="88"/>
        <v>0</v>
      </c>
      <c r="CI119" s="223"/>
      <c r="CJ119" s="1092"/>
    </row>
    <row r="120" spans="2:88" ht="17.5">
      <c r="B120" s="223">
        <f>IFERROR(VLOOKUP('C-sidumine'!Z28,'C-taust'!$C$95:$E$96, 3,FALSE)*$E$81,0)</f>
        <v>0.75</v>
      </c>
      <c r="C120" s="223">
        <f>'C-sidumine'!D28</f>
        <v>0</v>
      </c>
      <c r="D120" s="1097">
        <f t="shared" si="16"/>
        <v>4.6020519999999996</v>
      </c>
      <c r="E120" s="223">
        <f t="shared" si="17"/>
        <v>61.141547999999993</v>
      </c>
      <c r="F120" s="278">
        <f>'C-taust'!AB34</f>
        <v>0</v>
      </c>
      <c r="G120" s="278">
        <f t="shared" si="36"/>
        <v>0</v>
      </c>
      <c r="H120" s="278">
        <f t="shared" si="37"/>
        <v>0</v>
      </c>
      <c r="I120" s="293">
        <f t="shared" si="38"/>
        <v>-0.53855038617842876</v>
      </c>
      <c r="J120" s="293">
        <f t="shared" si="39"/>
        <v>-1.3724348550998668</v>
      </c>
      <c r="K120" s="293">
        <f t="shared" si="40"/>
        <v>-0.92422195305459387</v>
      </c>
      <c r="L120" s="278">
        <f t="shared" si="41"/>
        <v>0</v>
      </c>
      <c r="M120" s="278">
        <f t="shared" si="42"/>
        <v>0</v>
      </c>
      <c r="N120" s="278">
        <f t="shared" si="43"/>
        <v>0</v>
      </c>
      <c r="O120" s="293">
        <f t="shared" si="44"/>
        <v>0</v>
      </c>
      <c r="P120" s="293">
        <f t="shared" si="45"/>
        <v>0</v>
      </c>
      <c r="Q120" s="293">
        <f t="shared" si="46"/>
        <v>0</v>
      </c>
      <c r="R120" s="1104">
        <f t="shared" si="47"/>
        <v>0</v>
      </c>
      <c r="S120" s="293"/>
      <c r="T120" s="223">
        <f>IFERROR(VLOOKUP('C-sidumine'!Z28,'C-taust'!$C$95:$E$96, 3,FALSE)*$E$82,0)</f>
        <v>0.96</v>
      </c>
      <c r="U120" s="305">
        <f t="shared" si="18"/>
        <v>4.6020519999999996</v>
      </c>
      <c r="V120" s="293">
        <f t="shared" si="19"/>
        <v>61.141547999999993</v>
      </c>
      <c r="W120" s="278">
        <f t="shared" si="20"/>
        <v>0</v>
      </c>
      <c r="X120" s="278">
        <f t="shared" si="21"/>
        <v>0</v>
      </c>
      <c r="Y120" s="278">
        <f t="shared" si="22"/>
        <v>0</v>
      </c>
      <c r="Z120" s="293">
        <f t="shared" si="48"/>
        <v>-0.68934449430838873</v>
      </c>
      <c r="AA120" s="293">
        <f t="shared" si="49"/>
        <v>-1.7567166145278295</v>
      </c>
      <c r="AB120" s="293">
        <f t="shared" si="89"/>
        <v>-1.1830040999098801</v>
      </c>
      <c r="AC120" s="278">
        <f t="shared" si="50"/>
        <v>0</v>
      </c>
      <c r="AD120" s="278">
        <f t="shared" si="51"/>
        <v>0</v>
      </c>
      <c r="AE120" s="278">
        <f t="shared" si="52"/>
        <v>0</v>
      </c>
      <c r="AF120" s="293">
        <f t="shared" si="53"/>
        <v>0</v>
      </c>
      <c r="AG120" s="293">
        <f t="shared" si="54"/>
        <v>0</v>
      </c>
      <c r="AH120" s="293">
        <f t="shared" si="55"/>
        <v>0</v>
      </c>
      <c r="AI120" s="1104">
        <f t="shared" si="56"/>
        <v>0</v>
      </c>
      <c r="AJ120" s="223"/>
      <c r="AK120" s="223">
        <f>IFERROR(VLOOKUP('C-sidumine'!Z28,'C-taust'!$C$95:$E$96, 3,FALSE)*$E$83,0)</f>
        <v>1</v>
      </c>
      <c r="AL120" s="305">
        <f t="shared" si="57"/>
        <v>4.5655329999999994</v>
      </c>
      <c r="AM120" s="293">
        <f t="shared" si="58"/>
        <v>60.656366999999996</v>
      </c>
      <c r="AN120" s="278">
        <f t="shared" si="23"/>
        <v>0</v>
      </c>
      <c r="AO120" s="278">
        <f t="shared" si="24"/>
        <v>0</v>
      </c>
      <c r="AP120" s="278">
        <f t="shared" si="25"/>
        <v>0</v>
      </c>
      <c r="AQ120" s="293">
        <f t="shared" si="59"/>
        <v>-0.71236905051930755</v>
      </c>
      <c r="AR120" s="293">
        <f t="shared" si="60"/>
        <v>-1.815392096484687</v>
      </c>
      <c r="AS120" s="293">
        <f t="shared" si="61"/>
        <v>-1.2225172092782954</v>
      </c>
      <c r="AT120" s="278">
        <f t="shared" si="62"/>
        <v>0</v>
      </c>
      <c r="AU120" s="278">
        <f t="shared" si="63"/>
        <v>0</v>
      </c>
      <c r="AV120" s="278">
        <f t="shared" si="64"/>
        <v>0</v>
      </c>
      <c r="AW120" s="293">
        <f t="shared" si="65"/>
        <v>0</v>
      </c>
      <c r="AX120" s="293">
        <f t="shared" si="66"/>
        <v>0</v>
      </c>
      <c r="AY120" s="293">
        <f t="shared" si="67"/>
        <v>0</v>
      </c>
      <c r="AZ120" s="1104">
        <f t="shared" si="68"/>
        <v>0</v>
      </c>
      <c r="BA120" s="223"/>
      <c r="BB120" s="223">
        <f>IFERROR(VLOOKUP('C-sidumine'!Z28,'C-taust'!$C$95:$E$96, 3,FALSE)*$E$84,0)</f>
        <v>0.98</v>
      </c>
      <c r="BC120" s="305">
        <f t="shared" si="26"/>
        <v>4.4026780000000008</v>
      </c>
      <c r="BD120" s="293">
        <f t="shared" si="27"/>
        <v>58.492722000000008</v>
      </c>
      <c r="BE120" s="278">
        <f t="shared" si="28"/>
        <v>0</v>
      </c>
      <c r="BF120" s="278">
        <f t="shared" si="29"/>
        <v>0</v>
      </c>
      <c r="BG120" s="278">
        <f t="shared" si="30"/>
        <v>0</v>
      </c>
      <c r="BH120" s="293">
        <f t="shared" si="69"/>
        <v>-0.67321929677656478</v>
      </c>
      <c r="BI120" s="293">
        <f t="shared" si="70"/>
        <v>-1.715623369204794</v>
      </c>
      <c r="BJ120" s="293">
        <f t="shared" si="71"/>
        <v>-1.1553311802746209</v>
      </c>
      <c r="BK120" s="278">
        <f t="shared" si="72"/>
        <v>0</v>
      </c>
      <c r="BL120" s="278">
        <f t="shared" si="73"/>
        <v>0</v>
      </c>
      <c r="BM120" s="278">
        <f t="shared" si="74"/>
        <v>0</v>
      </c>
      <c r="BN120" s="293">
        <f t="shared" si="75"/>
        <v>0</v>
      </c>
      <c r="BO120" s="293">
        <f t="shared" si="76"/>
        <v>0</v>
      </c>
      <c r="BP120" s="293">
        <f t="shared" si="77"/>
        <v>0</v>
      </c>
      <c r="BQ120" s="278">
        <f t="shared" si="78"/>
        <v>0</v>
      </c>
      <c r="BR120" s="223"/>
      <c r="BS120" s="1091">
        <f>IFERROR(VLOOKUP('C-sidumine'!Z28,'C-taust'!$C$95:$E$96, 3,FALSE)*$E$85,0)</f>
        <v>0.95</v>
      </c>
      <c r="BT120" s="305">
        <f t="shared" si="31"/>
        <v>3.9677400000000005</v>
      </c>
      <c r="BU120" s="293">
        <f t="shared" si="32"/>
        <v>52.714260000000003</v>
      </c>
      <c r="BV120" s="278">
        <f t="shared" si="33"/>
        <v>0</v>
      </c>
      <c r="BW120" s="278">
        <f t="shared" si="34"/>
        <v>0</v>
      </c>
      <c r="BX120" s="278">
        <f t="shared" si="35"/>
        <v>0</v>
      </c>
      <c r="BY120" s="293">
        <f t="shared" si="79"/>
        <v>-0.58813952668442093</v>
      </c>
      <c r="BZ120" s="293">
        <f t="shared" si="80"/>
        <v>-1.4988071809054597</v>
      </c>
      <c r="CA120" s="293">
        <f t="shared" si="81"/>
        <v>-1.0093233167616513</v>
      </c>
      <c r="CB120" s="278">
        <f t="shared" si="82"/>
        <v>0</v>
      </c>
      <c r="CC120" s="278">
        <f t="shared" si="83"/>
        <v>0</v>
      </c>
      <c r="CD120" s="278">
        <f t="shared" si="84"/>
        <v>0</v>
      </c>
      <c r="CE120" s="293">
        <f t="shared" si="85"/>
        <v>0</v>
      </c>
      <c r="CF120" s="293">
        <f t="shared" si="86"/>
        <v>0</v>
      </c>
      <c r="CG120" s="293">
        <f t="shared" si="87"/>
        <v>0</v>
      </c>
      <c r="CH120" s="278">
        <f t="shared" si="88"/>
        <v>0</v>
      </c>
      <c r="CI120" s="223"/>
      <c r="CJ120" s="1092"/>
    </row>
    <row r="121" spans="2:88" ht="17.5">
      <c r="B121" s="223">
        <f>IFERROR(VLOOKUP('C-sidumine'!Z29,'C-taust'!$C$95:$E$96, 3,FALSE)*$E$81,0)</f>
        <v>0.75</v>
      </c>
      <c r="C121" s="223">
        <f>'C-sidumine'!D29</f>
        <v>0</v>
      </c>
      <c r="D121" s="1097">
        <f t="shared" si="16"/>
        <v>4.6020519999999996</v>
      </c>
      <c r="E121" s="223">
        <f t="shared" si="17"/>
        <v>61.141547999999993</v>
      </c>
      <c r="F121" s="278">
        <f>'C-taust'!AB35</f>
        <v>0</v>
      </c>
      <c r="G121" s="278">
        <f t="shared" si="36"/>
        <v>0</v>
      </c>
      <c r="H121" s="278">
        <f t="shared" si="37"/>
        <v>0</v>
      </c>
      <c r="I121" s="293">
        <f t="shared" si="38"/>
        <v>-0.53855038617842876</v>
      </c>
      <c r="J121" s="293">
        <f t="shared" si="39"/>
        <v>-1.3724348550998668</v>
      </c>
      <c r="K121" s="293">
        <f t="shared" si="40"/>
        <v>-0.92422195305459387</v>
      </c>
      <c r="L121" s="278">
        <f t="shared" si="41"/>
        <v>0</v>
      </c>
      <c r="M121" s="278">
        <f t="shared" si="42"/>
        <v>0</v>
      </c>
      <c r="N121" s="278">
        <f t="shared" si="43"/>
        <v>0</v>
      </c>
      <c r="O121" s="293">
        <f t="shared" si="44"/>
        <v>0</v>
      </c>
      <c r="P121" s="293">
        <f t="shared" si="45"/>
        <v>0</v>
      </c>
      <c r="Q121" s="293">
        <f t="shared" si="46"/>
        <v>0</v>
      </c>
      <c r="R121" s="1104">
        <f t="shared" si="47"/>
        <v>0</v>
      </c>
      <c r="S121" s="293"/>
      <c r="T121" s="223">
        <f>IFERROR(VLOOKUP('C-sidumine'!Z29,'C-taust'!$C$95:$E$96, 3,FALSE)*$E$82,0)</f>
        <v>0.96</v>
      </c>
      <c r="U121" s="305">
        <f t="shared" si="18"/>
        <v>4.6020519999999996</v>
      </c>
      <c r="V121" s="293">
        <f t="shared" si="19"/>
        <v>61.141547999999993</v>
      </c>
      <c r="W121" s="278">
        <f t="shared" si="20"/>
        <v>0</v>
      </c>
      <c r="X121" s="278">
        <f t="shared" si="21"/>
        <v>0</v>
      </c>
      <c r="Y121" s="278">
        <f t="shared" si="22"/>
        <v>0</v>
      </c>
      <c r="Z121" s="293">
        <f t="shared" si="48"/>
        <v>-0.68934449430838873</v>
      </c>
      <c r="AA121" s="293">
        <f t="shared" si="49"/>
        <v>-1.7567166145278295</v>
      </c>
      <c r="AB121" s="293">
        <f t="shared" si="89"/>
        <v>-1.1830040999098801</v>
      </c>
      <c r="AC121" s="278">
        <f t="shared" si="50"/>
        <v>0</v>
      </c>
      <c r="AD121" s="278">
        <f t="shared" si="51"/>
        <v>0</v>
      </c>
      <c r="AE121" s="278">
        <f t="shared" si="52"/>
        <v>0</v>
      </c>
      <c r="AF121" s="293">
        <f t="shared" si="53"/>
        <v>0</v>
      </c>
      <c r="AG121" s="293">
        <f t="shared" si="54"/>
        <v>0</v>
      </c>
      <c r="AH121" s="293">
        <f t="shared" si="55"/>
        <v>0</v>
      </c>
      <c r="AI121" s="1104">
        <f t="shared" si="56"/>
        <v>0</v>
      </c>
      <c r="AJ121" s="223"/>
      <c r="AK121" s="223">
        <f>IFERROR(VLOOKUP('C-sidumine'!Z29,'C-taust'!$C$95:$E$96, 3,FALSE)*$E$83,0)</f>
        <v>1</v>
      </c>
      <c r="AL121" s="305">
        <f t="shared" si="57"/>
        <v>4.5655329999999994</v>
      </c>
      <c r="AM121" s="293">
        <f t="shared" si="58"/>
        <v>60.656366999999996</v>
      </c>
      <c r="AN121" s="278">
        <f t="shared" si="23"/>
        <v>0</v>
      </c>
      <c r="AO121" s="278">
        <f t="shared" si="24"/>
        <v>0</v>
      </c>
      <c r="AP121" s="278">
        <f t="shared" si="25"/>
        <v>0</v>
      </c>
      <c r="AQ121" s="293">
        <f t="shared" si="59"/>
        <v>-0.71236905051930755</v>
      </c>
      <c r="AR121" s="293">
        <f t="shared" si="60"/>
        <v>-1.815392096484687</v>
      </c>
      <c r="AS121" s="293">
        <f t="shared" si="61"/>
        <v>-1.2225172092782954</v>
      </c>
      <c r="AT121" s="278">
        <f t="shared" si="62"/>
        <v>0</v>
      </c>
      <c r="AU121" s="278">
        <f t="shared" si="63"/>
        <v>0</v>
      </c>
      <c r="AV121" s="278">
        <f t="shared" si="64"/>
        <v>0</v>
      </c>
      <c r="AW121" s="293">
        <f t="shared" si="65"/>
        <v>0</v>
      </c>
      <c r="AX121" s="293">
        <f t="shared" si="66"/>
        <v>0</v>
      </c>
      <c r="AY121" s="293">
        <f t="shared" si="67"/>
        <v>0</v>
      </c>
      <c r="AZ121" s="1104">
        <f t="shared" si="68"/>
        <v>0</v>
      </c>
      <c r="BA121" s="223"/>
      <c r="BB121" s="223">
        <f>IFERROR(VLOOKUP('C-sidumine'!Z29,'C-taust'!$C$95:$E$96, 3,FALSE)*$E$84,0)</f>
        <v>0.98</v>
      </c>
      <c r="BC121" s="305">
        <f t="shared" si="26"/>
        <v>4.4026780000000008</v>
      </c>
      <c r="BD121" s="293">
        <f t="shared" si="27"/>
        <v>58.492722000000008</v>
      </c>
      <c r="BE121" s="278">
        <f t="shared" si="28"/>
        <v>0</v>
      </c>
      <c r="BF121" s="278">
        <f t="shared" si="29"/>
        <v>0</v>
      </c>
      <c r="BG121" s="278">
        <f t="shared" si="30"/>
        <v>0</v>
      </c>
      <c r="BH121" s="293">
        <f t="shared" si="69"/>
        <v>-0.67321929677656478</v>
      </c>
      <c r="BI121" s="293">
        <f t="shared" si="70"/>
        <v>-1.715623369204794</v>
      </c>
      <c r="BJ121" s="293">
        <f t="shared" si="71"/>
        <v>-1.1553311802746209</v>
      </c>
      <c r="BK121" s="278">
        <f t="shared" si="72"/>
        <v>0</v>
      </c>
      <c r="BL121" s="278">
        <f t="shared" si="73"/>
        <v>0</v>
      </c>
      <c r="BM121" s="278">
        <f t="shared" si="74"/>
        <v>0</v>
      </c>
      <c r="BN121" s="293">
        <f t="shared" si="75"/>
        <v>0</v>
      </c>
      <c r="BO121" s="293">
        <f t="shared" si="76"/>
        <v>0</v>
      </c>
      <c r="BP121" s="293">
        <f t="shared" si="77"/>
        <v>0</v>
      </c>
      <c r="BQ121" s="278">
        <f t="shared" si="78"/>
        <v>0</v>
      </c>
      <c r="BR121" s="223"/>
      <c r="BS121" s="1091">
        <f>IFERROR(VLOOKUP('C-sidumine'!Z29,'C-taust'!$C$95:$E$96, 3,FALSE)*$E$85,0)</f>
        <v>0.95</v>
      </c>
      <c r="BT121" s="305">
        <f t="shared" si="31"/>
        <v>3.9677400000000005</v>
      </c>
      <c r="BU121" s="293">
        <f t="shared" si="32"/>
        <v>52.714260000000003</v>
      </c>
      <c r="BV121" s="278">
        <f t="shared" si="33"/>
        <v>0</v>
      </c>
      <c r="BW121" s="278">
        <f t="shared" si="34"/>
        <v>0</v>
      </c>
      <c r="BX121" s="278">
        <f t="shared" si="35"/>
        <v>0</v>
      </c>
      <c r="BY121" s="293">
        <f t="shared" si="79"/>
        <v>-0.58813952668442093</v>
      </c>
      <c r="BZ121" s="293">
        <f t="shared" si="80"/>
        <v>-1.4988071809054597</v>
      </c>
      <c r="CA121" s="293">
        <f t="shared" si="81"/>
        <v>-1.0093233167616513</v>
      </c>
      <c r="CB121" s="278">
        <f t="shared" si="82"/>
        <v>0</v>
      </c>
      <c r="CC121" s="278">
        <f t="shared" si="83"/>
        <v>0</v>
      </c>
      <c r="CD121" s="278">
        <f t="shared" si="84"/>
        <v>0</v>
      </c>
      <c r="CE121" s="293">
        <f t="shared" si="85"/>
        <v>0</v>
      </c>
      <c r="CF121" s="293">
        <f t="shared" si="86"/>
        <v>0</v>
      </c>
      <c r="CG121" s="293">
        <f t="shared" si="87"/>
        <v>0</v>
      </c>
      <c r="CH121" s="278">
        <f t="shared" si="88"/>
        <v>0</v>
      </c>
      <c r="CI121" s="223"/>
      <c r="CJ121" s="1092"/>
    </row>
    <row r="122" spans="2:88" ht="17.5">
      <c r="B122" s="223">
        <f>IFERROR(VLOOKUP('C-sidumine'!Z30,'C-taust'!$C$95:$E$96, 3,FALSE)*$E$81,0)</f>
        <v>0.75</v>
      </c>
      <c r="C122" s="223">
        <f>'C-sidumine'!D30</f>
        <v>0</v>
      </c>
      <c r="D122" s="1097">
        <f t="shared" si="16"/>
        <v>4.6020519999999996</v>
      </c>
      <c r="E122" s="223">
        <f t="shared" si="17"/>
        <v>61.141547999999993</v>
      </c>
      <c r="F122" s="278">
        <f>'C-taust'!AB36</f>
        <v>0</v>
      </c>
      <c r="G122" s="278">
        <f t="shared" si="36"/>
        <v>0</v>
      </c>
      <c r="H122" s="278">
        <f t="shared" si="37"/>
        <v>0</v>
      </c>
      <c r="I122" s="293">
        <f t="shared" si="38"/>
        <v>-0.53855038617842876</v>
      </c>
      <c r="J122" s="293">
        <f t="shared" si="39"/>
        <v>-1.3724348550998668</v>
      </c>
      <c r="K122" s="293">
        <f t="shared" si="40"/>
        <v>-0.92422195305459387</v>
      </c>
      <c r="L122" s="278">
        <f t="shared" si="41"/>
        <v>0</v>
      </c>
      <c r="M122" s="278">
        <f t="shared" si="42"/>
        <v>0</v>
      </c>
      <c r="N122" s="278">
        <f t="shared" si="43"/>
        <v>0</v>
      </c>
      <c r="O122" s="293">
        <f t="shared" si="44"/>
        <v>0</v>
      </c>
      <c r="P122" s="293">
        <f t="shared" si="45"/>
        <v>0</v>
      </c>
      <c r="Q122" s="293">
        <f t="shared" si="46"/>
        <v>0</v>
      </c>
      <c r="R122" s="1104">
        <f t="shared" si="47"/>
        <v>0</v>
      </c>
      <c r="S122" s="293"/>
      <c r="T122" s="223">
        <f>IFERROR(VLOOKUP('C-sidumine'!Z30,'C-taust'!$C$95:$E$96, 3,FALSE)*$E$82,0)</f>
        <v>0.96</v>
      </c>
      <c r="U122" s="305">
        <f t="shared" si="18"/>
        <v>4.6020519999999996</v>
      </c>
      <c r="V122" s="293">
        <f t="shared" si="19"/>
        <v>61.141547999999993</v>
      </c>
      <c r="W122" s="278">
        <f t="shared" si="20"/>
        <v>0</v>
      </c>
      <c r="X122" s="278">
        <f t="shared" si="21"/>
        <v>0</v>
      </c>
      <c r="Y122" s="278">
        <f t="shared" si="22"/>
        <v>0</v>
      </c>
      <c r="Z122" s="293">
        <f t="shared" si="48"/>
        <v>-0.68934449430838873</v>
      </c>
      <c r="AA122" s="293">
        <f t="shared" si="49"/>
        <v>-1.7567166145278295</v>
      </c>
      <c r="AB122" s="293">
        <f t="shared" si="89"/>
        <v>-1.1830040999098801</v>
      </c>
      <c r="AC122" s="278">
        <f t="shared" si="50"/>
        <v>0</v>
      </c>
      <c r="AD122" s="278">
        <f t="shared" si="51"/>
        <v>0</v>
      </c>
      <c r="AE122" s="278">
        <f t="shared" si="52"/>
        <v>0</v>
      </c>
      <c r="AF122" s="293">
        <f t="shared" si="53"/>
        <v>0</v>
      </c>
      <c r="AG122" s="293">
        <f t="shared" si="54"/>
        <v>0</v>
      </c>
      <c r="AH122" s="293">
        <f t="shared" si="55"/>
        <v>0</v>
      </c>
      <c r="AI122" s="1104">
        <f t="shared" si="56"/>
        <v>0</v>
      </c>
      <c r="AJ122" s="223"/>
      <c r="AK122" s="223">
        <f>IFERROR(VLOOKUP('C-sidumine'!Z30,'C-taust'!$C$95:$E$96, 3,FALSE)*$E$83,0)</f>
        <v>1</v>
      </c>
      <c r="AL122" s="305">
        <f t="shared" si="57"/>
        <v>4.5655329999999994</v>
      </c>
      <c r="AM122" s="293">
        <f t="shared" si="58"/>
        <v>60.656366999999996</v>
      </c>
      <c r="AN122" s="278">
        <f t="shared" si="23"/>
        <v>0</v>
      </c>
      <c r="AO122" s="278">
        <f t="shared" si="24"/>
        <v>0</v>
      </c>
      <c r="AP122" s="278">
        <f t="shared" si="25"/>
        <v>0</v>
      </c>
      <c r="AQ122" s="293">
        <f t="shared" si="59"/>
        <v>-0.71236905051930755</v>
      </c>
      <c r="AR122" s="293">
        <f t="shared" si="60"/>
        <v>-1.815392096484687</v>
      </c>
      <c r="AS122" s="293">
        <f t="shared" si="61"/>
        <v>-1.2225172092782954</v>
      </c>
      <c r="AT122" s="278">
        <f t="shared" si="62"/>
        <v>0</v>
      </c>
      <c r="AU122" s="278">
        <f t="shared" si="63"/>
        <v>0</v>
      </c>
      <c r="AV122" s="278">
        <f t="shared" si="64"/>
        <v>0</v>
      </c>
      <c r="AW122" s="293">
        <f t="shared" si="65"/>
        <v>0</v>
      </c>
      <c r="AX122" s="293">
        <f t="shared" si="66"/>
        <v>0</v>
      </c>
      <c r="AY122" s="293">
        <f t="shared" si="67"/>
        <v>0</v>
      </c>
      <c r="AZ122" s="1104">
        <f t="shared" si="68"/>
        <v>0</v>
      </c>
      <c r="BA122" s="223"/>
      <c r="BB122" s="223">
        <f>IFERROR(VLOOKUP('C-sidumine'!Z30,'C-taust'!$C$95:$E$96, 3,FALSE)*$E$84,0)</f>
        <v>0.98</v>
      </c>
      <c r="BC122" s="305">
        <f t="shared" si="26"/>
        <v>4.4026780000000008</v>
      </c>
      <c r="BD122" s="293">
        <f t="shared" si="27"/>
        <v>58.492722000000008</v>
      </c>
      <c r="BE122" s="278">
        <f t="shared" si="28"/>
        <v>0</v>
      </c>
      <c r="BF122" s="278">
        <f t="shared" si="29"/>
        <v>0</v>
      </c>
      <c r="BG122" s="278">
        <f t="shared" si="30"/>
        <v>0</v>
      </c>
      <c r="BH122" s="293">
        <f t="shared" si="69"/>
        <v>-0.67321929677656478</v>
      </c>
      <c r="BI122" s="293">
        <f t="shared" si="70"/>
        <v>-1.715623369204794</v>
      </c>
      <c r="BJ122" s="293">
        <f t="shared" si="71"/>
        <v>-1.1553311802746209</v>
      </c>
      <c r="BK122" s="278">
        <f t="shared" si="72"/>
        <v>0</v>
      </c>
      <c r="BL122" s="278">
        <f t="shared" si="73"/>
        <v>0</v>
      </c>
      <c r="BM122" s="278">
        <f t="shared" si="74"/>
        <v>0</v>
      </c>
      <c r="BN122" s="293">
        <f t="shared" si="75"/>
        <v>0</v>
      </c>
      <c r="BO122" s="293">
        <f t="shared" si="76"/>
        <v>0</v>
      </c>
      <c r="BP122" s="293">
        <f t="shared" si="77"/>
        <v>0</v>
      </c>
      <c r="BQ122" s="278">
        <f t="shared" si="78"/>
        <v>0</v>
      </c>
      <c r="BR122" s="223"/>
      <c r="BS122" s="1091">
        <f>IFERROR(VLOOKUP('C-sidumine'!Z30,'C-taust'!$C$95:$E$96, 3,FALSE)*$E$85,0)</f>
        <v>0.95</v>
      </c>
      <c r="BT122" s="305">
        <f t="shared" si="31"/>
        <v>3.9677400000000005</v>
      </c>
      <c r="BU122" s="293">
        <f t="shared" si="32"/>
        <v>52.714260000000003</v>
      </c>
      <c r="BV122" s="278">
        <f t="shared" si="33"/>
        <v>0</v>
      </c>
      <c r="BW122" s="278">
        <f t="shared" si="34"/>
        <v>0</v>
      </c>
      <c r="BX122" s="278">
        <f t="shared" si="35"/>
        <v>0</v>
      </c>
      <c r="BY122" s="293">
        <f t="shared" si="79"/>
        <v>-0.58813952668442093</v>
      </c>
      <c r="BZ122" s="293">
        <f t="shared" si="80"/>
        <v>-1.4988071809054597</v>
      </c>
      <c r="CA122" s="293">
        <f t="shared" si="81"/>
        <v>-1.0093233167616513</v>
      </c>
      <c r="CB122" s="278">
        <f t="shared" si="82"/>
        <v>0</v>
      </c>
      <c r="CC122" s="278">
        <f t="shared" si="83"/>
        <v>0</v>
      </c>
      <c r="CD122" s="278">
        <f t="shared" si="84"/>
        <v>0</v>
      </c>
      <c r="CE122" s="293">
        <f t="shared" si="85"/>
        <v>0</v>
      </c>
      <c r="CF122" s="293">
        <f t="shared" si="86"/>
        <v>0</v>
      </c>
      <c r="CG122" s="293">
        <f t="shared" si="87"/>
        <v>0</v>
      </c>
      <c r="CH122" s="278">
        <f t="shared" si="88"/>
        <v>0</v>
      </c>
      <c r="CI122" s="223"/>
      <c r="CJ122" s="1092"/>
    </row>
    <row r="123" spans="2:88" ht="17.5">
      <c r="B123" s="223">
        <f>IFERROR(VLOOKUP('C-sidumine'!Z31,'C-taust'!$C$95:$E$96, 3,FALSE)*$E$81,0)</f>
        <v>0.75</v>
      </c>
      <c r="C123" s="223">
        <f>'C-sidumine'!D31</f>
        <v>0</v>
      </c>
      <c r="D123" s="1097">
        <f t="shared" si="16"/>
        <v>4.6020519999999996</v>
      </c>
      <c r="E123" s="223">
        <f t="shared" si="17"/>
        <v>61.141547999999993</v>
      </c>
      <c r="F123" s="278">
        <f>'C-taust'!AB37</f>
        <v>0</v>
      </c>
      <c r="G123" s="278">
        <f t="shared" si="36"/>
        <v>0</v>
      </c>
      <c r="H123" s="278">
        <f t="shared" si="37"/>
        <v>0</v>
      </c>
      <c r="I123" s="293">
        <f t="shared" si="38"/>
        <v>-0.53855038617842876</v>
      </c>
      <c r="J123" s="293">
        <f t="shared" si="39"/>
        <v>-1.3724348550998668</v>
      </c>
      <c r="K123" s="293">
        <f t="shared" si="40"/>
        <v>-0.92422195305459387</v>
      </c>
      <c r="L123" s="278">
        <f t="shared" si="41"/>
        <v>0</v>
      </c>
      <c r="M123" s="278">
        <f t="shared" si="42"/>
        <v>0</v>
      </c>
      <c r="N123" s="278">
        <f t="shared" si="43"/>
        <v>0</v>
      </c>
      <c r="O123" s="293">
        <f t="shared" si="44"/>
        <v>0</v>
      </c>
      <c r="P123" s="293">
        <f t="shared" si="45"/>
        <v>0</v>
      </c>
      <c r="Q123" s="293">
        <f t="shared" si="46"/>
        <v>0</v>
      </c>
      <c r="R123" s="1104">
        <f t="shared" si="47"/>
        <v>0</v>
      </c>
      <c r="S123" s="293"/>
      <c r="T123" s="223">
        <f>IFERROR(VLOOKUP('C-sidumine'!Z31,'C-taust'!$C$95:$E$96, 3,FALSE)*$E$82,0)</f>
        <v>0.96</v>
      </c>
      <c r="U123" s="305">
        <f t="shared" si="18"/>
        <v>4.6020519999999996</v>
      </c>
      <c r="V123" s="293">
        <f t="shared" si="19"/>
        <v>61.141547999999993</v>
      </c>
      <c r="W123" s="278">
        <f t="shared" si="20"/>
        <v>0</v>
      </c>
      <c r="X123" s="278">
        <f t="shared" si="21"/>
        <v>0</v>
      </c>
      <c r="Y123" s="278">
        <f t="shared" si="22"/>
        <v>0</v>
      </c>
      <c r="Z123" s="293">
        <f t="shared" si="48"/>
        <v>-0.68934449430838873</v>
      </c>
      <c r="AA123" s="293">
        <f t="shared" si="49"/>
        <v>-1.7567166145278295</v>
      </c>
      <c r="AB123" s="293">
        <f t="shared" si="89"/>
        <v>-1.1830040999098801</v>
      </c>
      <c r="AC123" s="278">
        <f t="shared" si="50"/>
        <v>0</v>
      </c>
      <c r="AD123" s="278">
        <f t="shared" si="51"/>
        <v>0</v>
      </c>
      <c r="AE123" s="278">
        <f t="shared" si="52"/>
        <v>0</v>
      </c>
      <c r="AF123" s="293">
        <f t="shared" si="53"/>
        <v>0</v>
      </c>
      <c r="AG123" s="293">
        <f t="shared" si="54"/>
        <v>0</v>
      </c>
      <c r="AH123" s="293">
        <f t="shared" si="55"/>
        <v>0</v>
      </c>
      <c r="AI123" s="1104">
        <f t="shared" si="56"/>
        <v>0</v>
      </c>
      <c r="AJ123" s="223"/>
      <c r="AK123" s="223">
        <f>IFERROR(VLOOKUP('C-sidumine'!Z31,'C-taust'!$C$95:$E$96, 3,FALSE)*$E$83,0)</f>
        <v>1</v>
      </c>
      <c r="AL123" s="305">
        <f t="shared" si="57"/>
        <v>4.5655329999999994</v>
      </c>
      <c r="AM123" s="293">
        <f t="shared" si="58"/>
        <v>60.656366999999996</v>
      </c>
      <c r="AN123" s="278">
        <f t="shared" si="23"/>
        <v>0</v>
      </c>
      <c r="AO123" s="278">
        <f t="shared" si="24"/>
        <v>0</v>
      </c>
      <c r="AP123" s="278">
        <f t="shared" si="25"/>
        <v>0</v>
      </c>
      <c r="AQ123" s="293">
        <f t="shared" si="59"/>
        <v>-0.71236905051930755</v>
      </c>
      <c r="AR123" s="293">
        <f t="shared" si="60"/>
        <v>-1.815392096484687</v>
      </c>
      <c r="AS123" s="293">
        <f t="shared" si="61"/>
        <v>-1.2225172092782954</v>
      </c>
      <c r="AT123" s="278">
        <f t="shared" si="62"/>
        <v>0</v>
      </c>
      <c r="AU123" s="278">
        <f t="shared" si="63"/>
        <v>0</v>
      </c>
      <c r="AV123" s="278">
        <f t="shared" si="64"/>
        <v>0</v>
      </c>
      <c r="AW123" s="293">
        <f t="shared" si="65"/>
        <v>0</v>
      </c>
      <c r="AX123" s="293">
        <f t="shared" si="66"/>
        <v>0</v>
      </c>
      <c r="AY123" s="293">
        <f t="shared" si="67"/>
        <v>0</v>
      </c>
      <c r="AZ123" s="1104">
        <f t="shared" si="68"/>
        <v>0</v>
      </c>
      <c r="BA123" s="223"/>
      <c r="BB123" s="223">
        <f>IFERROR(VLOOKUP('C-sidumine'!Z31,'C-taust'!$C$95:$E$96, 3,FALSE)*$E$84,0)</f>
        <v>0.98</v>
      </c>
      <c r="BC123" s="305">
        <f t="shared" si="26"/>
        <v>4.4026780000000008</v>
      </c>
      <c r="BD123" s="293">
        <f t="shared" si="27"/>
        <v>58.492722000000008</v>
      </c>
      <c r="BE123" s="278">
        <f t="shared" si="28"/>
        <v>0</v>
      </c>
      <c r="BF123" s="278">
        <f t="shared" si="29"/>
        <v>0</v>
      </c>
      <c r="BG123" s="278">
        <f t="shared" si="30"/>
        <v>0</v>
      </c>
      <c r="BH123" s="293">
        <f t="shared" si="69"/>
        <v>-0.67321929677656478</v>
      </c>
      <c r="BI123" s="293">
        <f t="shared" si="70"/>
        <v>-1.715623369204794</v>
      </c>
      <c r="BJ123" s="293">
        <f t="shared" si="71"/>
        <v>-1.1553311802746209</v>
      </c>
      <c r="BK123" s="278">
        <f t="shared" si="72"/>
        <v>0</v>
      </c>
      <c r="BL123" s="278">
        <f t="shared" si="73"/>
        <v>0</v>
      </c>
      <c r="BM123" s="278">
        <f t="shared" si="74"/>
        <v>0</v>
      </c>
      <c r="BN123" s="293">
        <f t="shared" si="75"/>
        <v>0</v>
      </c>
      <c r="BO123" s="293">
        <f t="shared" si="76"/>
        <v>0</v>
      </c>
      <c r="BP123" s="293">
        <f t="shared" si="77"/>
        <v>0</v>
      </c>
      <c r="BQ123" s="278">
        <f t="shared" si="78"/>
        <v>0</v>
      </c>
      <c r="BR123" s="223"/>
      <c r="BS123" s="1091">
        <f>IFERROR(VLOOKUP('C-sidumine'!Z31,'C-taust'!$C$95:$E$96, 3,FALSE)*$E$85,0)</f>
        <v>0.95</v>
      </c>
      <c r="BT123" s="305">
        <f t="shared" si="31"/>
        <v>3.9677400000000005</v>
      </c>
      <c r="BU123" s="293">
        <f t="shared" si="32"/>
        <v>52.714260000000003</v>
      </c>
      <c r="BV123" s="278">
        <f t="shared" si="33"/>
        <v>0</v>
      </c>
      <c r="BW123" s="278">
        <f t="shared" si="34"/>
        <v>0</v>
      </c>
      <c r="BX123" s="278">
        <f t="shared" si="35"/>
        <v>0</v>
      </c>
      <c r="BY123" s="293">
        <f t="shared" si="79"/>
        <v>-0.58813952668442093</v>
      </c>
      <c r="BZ123" s="293">
        <f t="shared" si="80"/>
        <v>-1.4988071809054597</v>
      </c>
      <c r="CA123" s="293">
        <f t="shared" si="81"/>
        <v>-1.0093233167616513</v>
      </c>
      <c r="CB123" s="278">
        <f t="shared" si="82"/>
        <v>0</v>
      </c>
      <c r="CC123" s="278">
        <f t="shared" si="83"/>
        <v>0</v>
      </c>
      <c r="CD123" s="278">
        <f t="shared" si="84"/>
        <v>0</v>
      </c>
      <c r="CE123" s="293">
        <f t="shared" si="85"/>
        <v>0</v>
      </c>
      <c r="CF123" s="293">
        <f t="shared" si="86"/>
        <v>0</v>
      </c>
      <c r="CG123" s="293">
        <f t="shared" si="87"/>
        <v>0</v>
      </c>
      <c r="CH123" s="278">
        <f t="shared" si="88"/>
        <v>0</v>
      </c>
      <c r="CI123" s="223"/>
      <c r="CJ123" s="1092"/>
    </row>
    <row r="124" spans="2:88" ht="17.5">
      <c r="B124" s="223">
        <f>IFERROR(VLOOKUP('C-sidumine'!Z32,'C-taust'!$C$95:$E$96, 3,FALSE)*$E$81,0)</f>
        <v>0.75</v>
      </c>
      <c r="C124" s="223">
        <f>'C-sidumine'!D32</f>
        <v>0</v>
      </c>
      <c r="D124" s="1097">
        <f t="shared" si="16"/>
        <v>4.6020519999999996</v>
      </c>
      <c r="E124" s="223">
        <f t="shared" si="17"/>
        <v>61.141547999999993</v>
      </c>
      <c r="F124" s="278">
        <f>'C-taust'!AB38</f>
        <v>0</v>
      </c>
      <c r="G124" s="278">
        <f t="shared" si="36"/>
        <v>0</v>
      </c>
      <c r="H124" s="278">
        <f t="shared" si="37"/>
        <v>0</v>
      </c>
      <c r="I124" s="293">
        <f t="shared" si="38"/>
        <v>-0.53855038617842876</v>
      </c>
      <c r="J124" s="293">
        <f t="shared" si="39"/>
        <v>-1.3724348550998668</v>
      </c>
      <c r="K124" s="293">
        <f t="shared" si="40"/>
        <v>-0.92422195305459387</v>
      </c>
      <c r="L124" s="278">
        <f t="shared" si="41"/>
        <v>0</v>
      </c>
      <c r="M124" s="278">
        <f t="shared" si="42"/>
        <v>0</v>
      </c>
      <c r="N124" s="278">
        <f t="shared" si="43"/>
        <v>0</v>
      </c>
      <c r="O124" s="293">
        <f t="shared" si="44"/>
        <v>0</v>
      </c>
      <c r="P124" s="293">
        <f t="shared" si="45"/>
        <v>0</v>
      </c>
      <c r="Q124" s="293">
        <f t="shared" si="46"/>
        <v>0</v>
      </c>
      <c r="R124" s="1104">
        <f t="shared" si="47"/>
        <v>0</v>
      </c>
      <c r="S124" s="293"/>
      <c r="T124" s="223">
        <f>IFERROR(VLOOKUP('C-sidumine'!Z32,'C-taust'!$C$95:$E$96, 3,FALSE)*$E$82,0)</f>
        <v>0.96</v>
      </c>
      <c r="U124" s="305">
        <f t="shared" si="18"/>
        <v>4.6020519999999996</v>
      </c>
      <c r="V124" s="293">
        <f t="shared" si="19"/>
        <v>61.141547999999993</v>
      </c>
      <c r="W124" s="278">
        <f t="shared" si="20"/>
        <v>0</v>
      </c>
      <c r="X124" s="278">
        <f t="shared" si="21"/>
        <v>0</v>
      </c>
      <c r="Y124" s="278">
        <f t="shared" si="22"/>
        <v>0</v>
      </c>
      <c r="Z124" s="293">
        <f t="shared" si="48"/>
        <v>-0.68934449430838873</v>
      </c>
      <c r="AA124" s="293">
        <f t="shared" si="49"/>
        <v>-1.7567166145278295</v>
      </c>
      <c r="AB124" s="293">
        <f t="shared" si="89"/>
        <v>-1.1830040999098801</v>
      </c>
      <c r="AC124" s="278">
        <f t="shared" si="50"/>
        <v>0</v>
      </c>
      <c r="AD124" s="278">
        <f t="shared" si="51"/>
        <v>0</v>
      </c>
      <c r="AE124" s="278">
        <f t="shared" si="52"/>
        <v>0</v>
      </c>
      <c r="AF124" s="293">
        <f t="shared" si="53"/>
        <v>0</v>
      </c>
      <c r="AG124" s="293">
        <f t="shared" si="54"/>
        <v>0</v>
      </c>
      <c r="AH124" s="293">
        <f t="shared" si="55"/>
        <v>0</v>
      </c>
      <c r="AI124" s="1104">
        <f t="shared" si="56"/>
        <v>0</v>
      </c>
      <c r="AJ124" s="223"/>
      <c r="AK124" s="223">
        <f>IFERROR(VLOOKUP('C-sidumine'!Z32,'C-taust'!$C$95:$E$96, 3,FALSE)*$E$83,0)</f>
        <v>1</v>
      </c>
      <c r="AL124" s="305">
        <f t="shared" si="57"/>
        <v>4.5655329999999994</v>
      </c>
      <c r="AM124" s="293">
        <f t="shared" si="58"/>
        <v>60.656366999999996</v>
      </c>
      <c r="AN124" s="278">
        <f t="shared" si="23"/>
        <v>0</v>
      </c>
      <c r="AO124" s="278">
        <f t="shared" si="24"/>
        <v>0</v>
      </c>
      <c r="AP124" s="278">
        <f t="shared" si="25"/>
        <v>0</v>
      </c>
      <c r="AQ124" s="293">
        <f t="shared" si="59"/>
        <v>-0.71236905051930755</v>
      </c>
      <c r="AR124" s="293">
        <f t="shared" si="60"/>
        <v>-1.815392096484687</v>
      </c>
      <c r="AS124" s="293">
        <f t="shared" si="61"/>
        <v>-1.2225172092782954</v>
      </c>
      <c r="AT124" s="278">
        <f t="shared" si="62"/>
        <v>0</v>
      </c>
      <c r="AU124" s="278">
        <f t="shared" si="63"/>
        <v>0</v>
      </c>
      <c r="AV124" s="278">
        <f t="shared" si="64"/>
        <v>0</v>
      </c>
      <c r="AW124" s="293">
        <f t="shared" si="65"/>
        <v>0</v>
      </c>
      <c r="AX124" s="293">
        <f t="shared" si="66"/>
        <v>0</v>
      </c>
      <c r="AY124" s="293">
        <f t="shared" si="67"/>
        <v>0</v>
      </c>
      <c r="AZ124" s="1104">
        <f t="shared" si="68"/>
        <v>0</v>
      </c>
      <c r="BA124" s="223"/>
      <c r="BB124" s="223">
        <f>IFERROR(VLOOKUP('C-sidumine'!Z32,'C-taust'!$C$95:$E$96, 3,FALSE)*$E$84,0)</f>
        <v>0.98</v>
      </c>
      <c r="BC124" s="305">
        <f t="shared" si="26"/>
        <v>4.4026780000000008</v>
      </c>
      <c r="BD124" s="293">
        <f t="shared" si="27"/>
        <v>58.492722000000008</v>
      </c>
      <c r="BE124" s="278">
        <f t="shared" si="28"/>
        <v>0</v>
      </c>
      <c r="BF124" s="278">
        <f t="shared" si="29"/>
        <v>0</v>
      </c>
      <c r="BG124" s="278">
        <f t="shared" si="30"/>
        <v>0</v>
      </c>
      <c r="BH124" s="293">
        <f t="shared" si="69"/>
        <v>-0.67321929677656478</v>
      </c>
      <c r="BI124" s="293">
        <f t="shared" si="70"/>
        <v>-1.715623369204794</v>
      </c>
      <c r="BJ124" s="293">
        <f t="shared" si="71"/>
        <v>-1.1553311802746209</v>
      </c>
      <c r="BK124" s="278">
        <f t="shared" si="72"/>
        <v>0</v>
      </c>
      <c r="BL124" s="278">
        <f t="shared" si="73"/>
        <v>0</v>
      </c>
      <c r="BM124" s="278">
        <f t="shared" si="74"/>
        <v>0</v>
      </c>
      <c r="BN124" s="293">
        <f t="shared" si="75"/>
        <v>0</v>
      </c>
      <c r="BO124" s="293">
        <f t="shared" si="76"/>
        <v>0</v>
      </c>
      <c r="BP124" s="293">
        <f t="shared" si="77"/>
        <v>0</v>
      </c>
      <c r="BQ124" s="278">
        <f t="shared" si="78"/>
        <v>0</v>
      </c>
      <c r="BR124" s="223"/>
      <c r="BS124" s="1091">
        <f>IFERROR(VLOOKUP('C-sidumine'!Z32,'C-taust'!$C$95:$E$96, 3,FALSE)*$E$85,0)</f>
        <v>0.95</v>
      </c>
      <c r="BT124" s="305">
        <f t="shared" si="31"/>
        <v>3.9677400000000005</v>
      </c>
      <c r="BU124" s="293">
        <f t="shared" si="32"/>
        <v>52.714260000000003</v>
      </c>
      <c r="BV124" s="278">
        <f t="shared" si="33"/>
        <v>0</v>
      </c>
      <c r="BW124" s="278">
        <f t="shared" si="34"/>
        <v>0</v>
      </c>
      <c r="BX124" s="278">
        <f t="shared" si="35"/>
        <v>0</v>
      </c>
      <c r="BY124" s="293">
        <f t="shared" si="79"/>
        <v>-0.58813952668442093</v>
      </c>
      <c r="BZ124" s="293">
        <f t="shared" si="80"/>
        <v>-1.4988071809054597</v>
      </c>
      <c r="CA124" s="293">
        <f t="shared" si="81"/>
        <v>-1.0093233167616513</v>
      </c>
      <c r="CB124" s="278">
        <f t="shared" si="82"/>
        <v>0</v>
      </c>
      <c r="CC124" s="278">
        <f t="shared" si="83"/>
        <v>0</v>
      </c>
      <c r="CD124" s="278">
        <f t="shared" si="84"/>
        <v>0</v>
      </c>
      <c r="CE124" s="293">
        <f t="shared" si="85"/>
        <v>0</v>
      </c>
      <c r="CF124" s="293">
        <f t="shared" si="86"/>
        <v>0</v>
      </c>
      <c r="CG124" s="293">
        <f t="shared" si="87"/>
        <v>0</v>
      </c>
      <c r="CH124" s="278">
        <f t="shared" si="88"/>
        <v>0</v>
      </c>
      <c r="CI124" s="223"/>
      <c r="CJ124" s="1092"/>
    </row>
    <row r="125" spans="2:88" ht="17.5">
      <c r="B125" s="223">
        <f>IFERROR(VLOOKUP('C-sidumine'!Z33,'C-taust'!$C$95:$E$96, 3,FALSE)*$E$81,0)</f>
        <v>0.75</v>
      </c>
      <c r="C125" s="223">
        <f>'C-sidumine'!D33</f>
        <v>0</v>
      </c>
      <c r="D125" s="1097">
        <f t="shared" si="16"/>
        <v>4.6020519999999996</v>
      </c>
      <c r="E125" s="223">
        <f t="shared" si="17"/>
        <v>61.141547999999993</v>
      </c>
      <c r="F125" s="278">
        <f>'C-taust'!AB39</f>
        <v>0</v>
      </c>
      <c r="G125" s="278">
        <f t="shared" si="36"/>
        <v>0</v>
      </c>
      <c r="H125" s="278">
        <f t="shared" si="37"/>
        <v>0</v>
      </c>
      <c r="I125" s="293">
        <f t="shared" si="38"/>
        <v>-0.53855038617842876</v>
      </c>
      <c r="J125" s="293">
        <f t="shared" si="39"/>
        <v>-1.3724348550998668</v>
      </c>
      <c r="K125" s="293">
        <f t="shared" si="40"/>
        <v>-0.92422195305459387</v>
      </c>
      <c r="L125" s="278">
        <f t="shared" si="41"/>
        <v>0</v>
      </c>
      <c r="M125" s="278">
        <f t="shared" si="42"/>
        <v>0</v>
      </c>
      <c r="N125" s="278">
        <f t="shared" si="43"/>
        <v>0</v>
      </c>
      <c r="O125" s="293">
        <f t="shared" si="44"/>
        <v>0</v>
      </c>
      <c r="P125" s="293">
        <f t="shared" si="45"/>
        <v>0</v>
      </c>
      <c r="Q125" s="293">
        <f t="shared" si="46"/>
        <v>0</v>
      </c>
      <c r="R125" s="1104">
        <f t="shared" si="47"/>
        <v>0</v>
      </c>
      <c r="S125" s="293"/>
      <c r="T125" s="223">
        <f>IFERROR(VLOOKUP('C-sidumine'!Z33,'C-taust'!$C$95:$E$96, 3,FALSE)*$E$82,0)</f>
        <v>0.96</v>
      </c>
      <c r="U125" s="305">
        <f t="shared" si="18"/>
        <v>4.6020519999999996</v>
      </c>
      <c r="V125" s="293">
        <f t="shared" si="19"/>
        <v>61.141547999999993</v>
      </c>
      <c r="W125" s="278">
        <f t="shared" si="20"/>
        <v>0</v>
      </c>
      <c r="X125" s="278">
        <f t="shared" si="21"/>
        <v>0</v>
      </c>
      <c r="Y125" s="278">
        <f t="shared" si="22"/>
        <v>0</v>
      </c>
      <c r="Z125" s="293">
        <f t="shared" si="48"/>
        <v>-0.68934449430838873</v>
      </c>
      <c r="AA125" s="293">
        <f t="shared" si="49"/>
        <v>-1.7567166145278295</v>
      </c>
      <c r="AB125" s="293">
        <f t="shared" si="89"/>
        <v>-1.1830040999098801</v>
      </c>
      <c r="AC125" s="278">
        <f t="shared" si="50"/>
        <v>0</v>
      </c>
      <c r="AD125" s="278">
        <f t="shared" si="51"/>
        <v>0</v>
      </c>
      <c r="AE125" s="278">
        <f t="shared" si="52"/>
        <v>0</v>
      </c>
      <c r="AF125" s="293">
        <f t="shared" si="53"/>
        <v>0</v>
      </c>
      <c r="AG125" s="293">
        <f t="shared" si="54"/>
        <v>0</v>
      </c>
      <c r="AH125" s="293">
        <f t="shared" si="55"/>
        <v>0</v>
      </c>
      <c r="AI125" s="1104">
        <f t="shared" si="56"/>
        <v>0</v>
      </c>
      <c r="AJ125" s="223"/>
      <c r="AK125" s="223">
        <f>IFERROR(VLOOKUP('C-sidumine'!Z33,'C-taust'!$C$95:$E$96, 3,FALSE)*$E$83,0)</f>
        <v>1</v>
      </c>
      <c r="AL125" s="305">
        <f t="shared" si="57"/>
        <v>4.5655329999999994</v>
      </c>
      <c r="AM125" s="293">
        <f t="shared" si="58"/>
        <v>60.656366999999996</v>
      </c>
      <c r="AN125" s="278">
        <f t="shared" si="23"/>
        <v>0</v>
      </c>
      <c r="AO125" s="278">
        <f t="shared" si="24"/>
        <v>0</v>
      </c>
      <c r="AP125" s="278">
        <f t="shared" si="25"/>
        <v>0</v>
      </c>
      <c r="AQ125" s="293">
        <f t="shared" si="59"/>
        <v>-0.71236905051930755</v>
      </c>
      <c r="AR125" s="293">
        <f t="shared" si="60"/>
        <v>-1.815392096484687</v>
      </c>
      <c r="AS125" s="293">
        <f t="shared" si="61"/>
        <v>-1.2225172092782954</v>
      </c>
      <c r="AT125" s="278">
        <f t="shared" si="62"/>
        <v>0</v>
      </c>
      <c r="AU125" s="278">
        <f t="shared" si="63"/>
        <v>0</v>
      </c>
      <c r="AV125" s="278">
        <f t="shared" si="64"/>
        <v>0</v>
      </c>
      <c r="AW125" s="293">
        <f t="shared" si="65"/>
        <v>0</v>
      </c>
      <c r="AX125" s="293">
        <f t="shared" si="66"/>
        <v>0</v>
      </c>
      <c r="AY125" s="293">
        <f t="shared" si="67"/>
        <v>0</v>
      </c>
      <c r="AZ125" s="1104">
        <f t="shared" si="68"/>
        <v>0</v>
      </c>
      <c r="BA125" s="223"/>
      <c r="BB125" s="223">
        <f>IFERROR(VLOOKUP('C-sidumine'!Z33,'C-taust'!$C$95:$E$96, 3,FALSE)*$E$84,0)</f>
        <v>0.98</v>
      </c>
      <c r="BC125" s="305">
        <f t="shared" si="26"/>
        <v>4.4026780000000008</v>
      </c>
      <c r="BD125" s="293">
        <f t="shared" si="27"/>
        <v>58.492722000000008</v>
      </c>
      <c r="BE125" s="278">
        <f t="shared" si="28"/>
        <v>0</v>
      </c>
      <c r="BF125" s="278">
        <f t="shared" si="29"/>
        <v>0</v>
      </c>
      <c r="BG125" s="278">
        <f t="shared" si="30"/>
        <v>0</v>
      </c>
      <c r="BH125" s="293">
        <f t="shared" si="69"/>
        <v>-0.67321929677656478</v>
      </c>
      <c r="BI125" s="293">
        <f t="shared" si="70"/>
        <v>-1.715623369204794</v>
      </c>
      <c r="BJ125" s="293">
        <f t="shared" si="71"/>
        <v>-1.1553311802746209</v>
      </c>
      <c r="BK125" s="278">
        <f t="shared" si="72"/>
        <v>0</v>
      </c>
      <c r="BL125" s="278">
        <f t="shared" si="73"/>
        <v>0</v>
      </c>
      <c r="BM125" s="278">
        <f t="shared" si="74"/>
        <v>0</v>
      </c>
      <c r="BN125" s="293">
        <f t="shared" si="75"/>
        <v>0</v>
      </c>
      <c r="BO125" s="293">
        <f t="shared" si="76"/>
        <v>0</v>
      </c>
      <c r="BP125" s="293">
        <f t="shared" si="77"/>
        <v>0</v>
      </c>
      <c r="BQ125" s="278">
        <f t="shared" si="78"/>
        <v>0</v>
      </c>
      <c r="BR125" s="223"/>
      <c r="BS125" s="1091">
        <f>IFERROR(VLOOKUP('C-sidumine'!Z33,'C-taust'!$C$95:$E$96, 3,FALSE)*$E$85,0)</f>
        <v>0.95</v>
      </c>
      <c r="BT125" s="305">
        <f t="shared" si="31"/>
        <v>3.9677400000000005</v>
      </c>
      <c r="BU125" s="293">
        <f t="shared" si="32"/>
        <v>52.714260000000003</v>
      </c>
      <c r="BV125" s="278">
        <f t="shared" si="33"/>
        <v>0</v>
      </c>
      <c r="BW125" s="278">
        <f t="shared" si="34"/>
        <v>0</v>
      </c>
      <c r="BX125" s="278">
        <f t="shared" si="35"/>
        <v>0</v>
      </c>
      <c r="BY125" s="293">
        <f t="shared" si="79"/>
        <v>-0.58813952668442093</v>
      </c>
      <c r="BZ125" s="293">
        <f t="shared" si="80"/>
        <v>-1.4988071809054597</v>
      </c>
      <c r="CA125" s="293">
        <f t="shared" si="81"/>
        <v>-1.0093233167616513</v>
      </c>
      <c r="CB125" s="278">
        <f t="shared" si="82"/>
        <v>0</v>
      </c>
      <c r="CC125" s="278">
        <f t="shared" si="83"/>
        <v>0</v>
      </c>
      <c r="CD125" s="278">
        <f t="shared" si="84"/>
        <v>0</v>
      </c>
      <c r="CE125" s="293">
        <f t="shared" si="85"/>
        <v>0</v>
      </c>
      <c r="CF125" s="293">
        <f t="shared" si="86"/>
        <v>0</v>
      </c>
      <c r="CG125" s="293">
        <f t="shared" si="87"/>
        <v>0</v>
      </c>
      <c r="CH125" s="278">
        <f t="shared" si="88"/>
        <v>0</v>
      </c>
      <c r="CI125" s="223"/>
      <c r="CJ125" s="1092"/>
    </row>
    <row r="126" spans="2:88" ht="17.5">
      <c r="B126" s="223">
        <f>IFERROR(VLOOKUP('C-sidumine'!Z37,'C-taust'!$C$95:$E$96, 3,FALSE)*$E$81,0)</f>
        <v>0.75</v>
      </c>
      <c r="C126" s="223">
        <f>'C-sidumine'!D37</f>
        <v>0</v>
      </c>
      <c r="D126" s="1097">
        <f t="shared" si="16"/>
        <v>4.6020519999999996</v>
      </c>
      <c r="E126" s="223">
        <f t="shared" si="17"/>
        <v>61.141547999999993</v>
      </c>
      <c r="F126" s="278">
        <f>'C-taust'!AB44</f>
        <v>0</v>
      </c>
      <c r="G126" s="278">
        <f t="shared" ref="G126:G144" si="90">AC44</f>
        <v>0</v>
      </c>
      <c r="H126" s="278">
        <f t="shared" ref="H126:H144" si="91">AD44</f>
        <v>0</v>
      </c>
      <c r="I126" s="293">
        <f t="shared" ref="I126:I144" si="92">($E$77*$B126)*(($E$98*$E$88*$D126)-$F126)/(($E$99-$E$98)*$E$88)</f>
        <v>-0.53855038617842876</v>
      </c>
      <c r="J126" s="293">
        <f t="shared" si="39"/>
        <v>-1.3724348550998668</v>
      </c>
      <c r="K126" s="293">
        <f t="shared" ref="K126:K144" si="93">($E$79*$B126)*(($E$98*$E$88*$D126)-$H126)/(($E$99-$E$98)*$E$88)</f>
        <v>-0.92422195305459387</v>
      </c>
      <c r="L126" s="278">
        <f t="shared" si="41"/>
        <v>0</v>
      </c>
      <c r="M126" s="278">
        <f t="shared" si="42"/>
        <v>0</v>
      </c>
      <c r="N126" s="278">
        <f t="shared" si="43"/>
        <v>0</v>
      </c>
      <c r="O126" s="293">
        <f t="shared" si="44"/>
        <v>0</v>
      </c>
      <c r="P126" s="293">
        <f t="shared" si="45"/>
        <v>0</v>
      </c>
      <c r="Q126" s="293">
        <f t="shared" si="46"/>
        <v>0</v>
      </c>
      <c r="R126" s="1104">
        <f t="shared" si="47"/>
        <v>0</v>
      </c>
      <c r="S126" s="293"/>
      <c r="T126" s="223">
        <f>IFERROR(VLOOKUP('C-sidumine'!Z37,'C-taust'!$C$95:$E$96, 3,FALSE)*$E$82,0)</f>
        <v>0.96</v>
      </c>
      <c r="U126" s="305">
        <f t="shared" si="18"/>
        <v>4.6020519999999996</v>
      </c>
      <c r="V126" s="293">
        <f t="shared" si="19"/>
        <v>61.141547999999993</v>
      </c>
      <c r="W126" s="278">
        <f t="shared" ref="W126:W144" si="94">AB44</f>
        <v>0</v>
      </c>
      <c r="X126" s="278">
        <f t="shared" ref="X126:X144" si="95">AC44</f>
        <v>0</v>
      </c>
      <c r="Y126" s="278">
        <f t="shared" ref="Y126:Y144" si="96">AD44</f>
        <v>0</v>
      </c>
      <c r="Z126" s="293">
        <f t="shared" si="48"/>
        <v>-0.68934449430838873</v>
      </c>
      <c r="AA126" s="293">
        <f t="shared" si="49"/>
        <v>-1.7567166145278295</v>
      </c>
      <c r="AB126" s="293">
        <f t="shared" si="89"/>
        <v>-1.1830040999098801</v>
      </c>
      <c r="AC126" s="278">
        <f t="shared" si="50"/>
        <v>0</v>
      </c>
      <c r="AD126" s="278">
        <f t="shared" si="51"/>
        <v>0</v>
      </c>
      <c r="AE126" s="278">
        <f t="shared" si="52"/>
        <v>0</v>
      </c>
      <c r="AF126" s="293">
        <f t="shared" si="53"/>
        <v>0</v>
      </c>
      <c r="AG126" s="293">
        <f t="shared" si="54"/>
        <v>0</v>
      </c>
      <c r="AH126" s="293">
        <f t="shared" si="55"/>
        <v>0</v>
      </c>
      <c r="AI126" s="1104">
        <f t="shared" si="56"/>
        <v>0</v>
      </c>
      <c r="AJ126" s="223"/>
      <c r="AK126" s="223">
        <f>IFERROR(VLOOKUP('C-sidumine'!Z37,'C-taust'!$C$95:$E$96, 3,FALSE)*$E$83,0)</f>
        <v>1</v>
      </c>
      <c r="AL126" s="305">
        <f t="shared" si="57"/>
        <v>4.5655329999999994</v>
      </c>
      <c r="AM126" s="293">
        <f t="shared" si="58"/>
        <v>60.656366999999996</v>
      </c>
      <c r="AN126" s="278">
        <f t="shared" ref="AN126:AN144" si="97">$AB44</f>
        <v>0</v>
      </c>
      <c r="AO126" s="278">
        <f t="shared" ref="AO126:AO144" si="98">$AC44</f>
        <v>0</v>
      </c>
      <c r="AP126" s="278">
        <f t="shared" ref="AP126:AP144" si="99">$AD44</f>
        <v>0</v>
      </c>
      <c r="AQ126" s="293">
        <f t="shared" si="59"/>
        <v>-0.71236905051930755</v>
      </c>
      <c r="AR126" s="293">
        <f t="shared" si="60"/>
        <v>-1.815392096484687</v>
      </c>
      <c r="AS126" s="293">
        <f t="shared" si="61"/>
        <v>-1.2225172092782954</v>
      </c>
      <c r="AT126" s="278">
        <f t="shared" si="62"/>
        <v>0</v>
      </c>
      <c r="AU126" s="278">
        <f t="shared" si="63"/>
        <v>0</v>
      </c>
      <c r="AV126" s="278">
        <f t="shared" si="64"/>
        <v>0</v>
      </c>
      <c r="AW126" s="293">
        <f t="shared" si="65"/>
        <v>0</v>
      </c>
      <c r="AX126" s="293">
        <f t="shared" si="66"/>
        <v>0</v>
      </c>
      <c r="AY126" s="293">
        <f t="shared" si="67"/>
        <v>0</v>
      </c>
      <c r="AZ126" s="1104">
        <f t="shared" si="68"/>
        <v>0</v>
      </c>
      <c r="BA126" s="223"/>
      <c r="BB126" s="223">
        <f>IFERROR(VLOOKUP('C-sidumine'!Z37,'C-taust'!$C$95:$E$96, 3,FALSE)*$E$84,0)</f>
        <v>0.98</v>
      </c>
      <c r="BC126" s="305">
        <f t="shared" si="26"/>
        <v>4.4026780000000008</v>
      </c>
      <c r="BD126" s="293">
        <f t="shared" si="27"/>
        <v>58.492722000000008</v>
      </c>
      <c r="BE126" s="278">
        <f t="shared" ref="BE126:BE144" si="100">$AB44</f>
        <v>0</v>
      </c>
      <c r="BF126" s="278">
        <f t="shared" ref="BF126:BF144" si="101">$AC44</f>
        <v>0</v>
      </c>
      <c r="BG126" s="278">
        <f t="shared" ref="BG126:BG144" si="102">$AD44</f>
        <v>0</v>
      </c>
      <c r="BH126" s="293">
        <f t="shared" si="69"/>
        <v>-0.67321929677656478</v>
      </c>
      <c r="BI126" s="293">
        <f t="shared" si="70"/>
        <v>-1.715623369204794</v>
      </c>
      <c r="BJ126" s="293">
        <f t="shared" si="71"/>
        <v>-1.1553311802746209</v>
      </c>
      <c r="BK126" s="278">
        <f t="shared" si="72"/>
        <v>0</v>
      </c>
      <c r="BL126" s="278">
        <f t="shared" si="73"/>
        <v>0</v>
      </c>
      <c r="BM126" s="278">
        <f t="shared" si="74"/>
        <v>0</v>
      </c>
      <c r="BN126" s="293">
        <f t="shared" si="75"/>
        <v>0</v>
      </c>
      <c r="BO126" s="293">
        <f t="shared" si="76"/>
        <v>0</v>
      </c>
      <c r="BP126" s="293">
        <f t="shared" si="77"/>
        <v>0</v>
      </c>
      <c r="BQ126" s="278">
        <f t="shared" si="78"/>
        <v>0</v>
      </c>
      <c r="BR126" s="223"/>
      <c r="BS126" s="1091">
        <f>IFERROR(VLOOKUP('C-sidumine'!Z37,'C-taust'!$C$95:$E$96, 3,FALSE)*$E$85,0)</f>
        <v>0.95</v>
      </c>
      <c r="BT126" s="305">
        <f t="shared" si="31"/>
        <v>3.9677400000000005</v>
      </c>
      <c r="BU126" s="293">
        <f t="shared" si="32"/>
        <v>52.714260000000003</v>
      </c>
      <c r="BV126" s="278">
        <f t="shared" ref="BV126:BV144" si="103">$AB44</f>
        <v>0</v>
      </c>
      <c r="BW126" s="278">
        <f t="shared" ref="BW126:BW144" si="104">$AC44</f>
        <v>0</v>
      </c>
      <c r="BX126" s="278">
        <f t="shared" ref="BX126:BX143" si="105">$AD44</f>
        <v>0</v>
      </c>
      <c r="BY126" s="293">
        <f t="shared" si="79"/>
        <v>-0.58813952668442093</v>
      </c>
      <c r="BZ126" s="293">
        <f t="shared" si="80"/>
        <v>-1.4988071809054597</v>
      </c>
      <c r="CA126" s="293">
        <f t="shared" si="81"/>
        <v>-1.0093233167616513</v>
      </c>
      <c r="CB126" s="278">
        <f t="shared" si="82"/>
        <v>0</v>
      </c>
      <c r="CC126" s="278">
        <f t="shared" si="83"/>
        <v>0</v>
      </c>
      <c r="CD126" s="278">
        <f t="shared" si="84"/>
        <v>0</v>
      </c>
      <c r="CE126" s="293">
        <f t="shared" si="85"/>
        <v>0</v>
      </c>
      <c r="CF126" s="293">
        <f t="shared" si="86"/>
        <v>0</v>
      </c>
      <c r="CG126" s="293">
        <f t="shared" si="87"/>
        <v>0</v>
      </c>
      <c r="CH126" s="278">
        <f t="shared" si="88"/>
        <v>0</v>
      </c>
      <c r="CI126" s="223"/>
      <c r="CJ126" s="1092"/>
    </row>
    <row r="127" spans="2:88" ht="17.5">
      <c r="B127" s="223">
        <f>IFERROR(VLOOKUP('C-sidumine'!Z38,'C-taust'!$C$95:$E$96, 3,FALSE)*$E$81,0)</f>
        <v>0.75</v>
      </c>
      <c r="C127" s="223">
        <f>'C-sidumine'!D38</f>
        <v>0</v>
      </c>
      <c r="D127" s="1097">
        <f t="shared" si="16"/>
        <v>4.6020519999999996</v>
      </c>
      <c r="E127" s="223">
        <f t="shared" si="17"/>
        <v>61.141547999999993</v>
      </c>
      <c r="F127" s="278">
        <f>'C-taust'!AB45</f>
        <v>0</v>
      </c>
      <c r="G127" s="278">
        <f t="shared" si="90"/>
        <v>0</v>
      </c>
      <c r="H127" s="278">
        <f t="shared" si="91"/>
        <v>0</v>
      </c>
      <c r="I127" s="293">
        <f t="shared" si="92"/>
        <v>-0.53855038617842876</v>
      </c>
      <c r="J127" s="293">
        <f t="shared" si="39"/>
        <v>-1.3724348550998668</v>
      </c>
      <c r="K127" s="293">
        <f t="shared" si="93"/>
        <v>-0.92422195305459387</v>
      </c>
      <c r="L127" s="278">
        <f t="shared" si="41"/>
        <v>0</v>
      </c>
      <c r="M127" s="278">
        <f t="shared" si="42"/>
        <v>0</v>
      </c>
      <c r="N127" s="278">
        <f t="shared" si="43"/>
        <v>0</v>
      </c>
      <c r="O127" s="293">
        <f t="shared" si="44"/>
        <v>0</v>
      </c>
      <c r="P127" s="293">
        <f t="shared" si="45"/>
        <v>0</v>
      </c>
      <c r="Q127" s="293">
        <f t="shared" si="46"/>
        <v>0</v>
      </c>
      <c r="R127" s="1104">
        <f t="shared" si="47"/>
        <v>0</v>
      </c>
      <c r="S127" s="293"/>
      <c r="T127" s="223">
        <f>IFERROR(VLOOKUP('C-sidumine'!Z38,'C-taust'!$C$95:$E$96, 3,FALSE)*$E$82,0)</f>
        <v>0.96</v>
      </c>
      <c r="U127" s="305">
        <f t="shared" si="18"/>
        <v>4.6020519999999996</v>
      </c>
      <c r="V127" s="293">
        <f t="shared" si="19"/>
        <v>61.141547999999993</v>
      </c>
      <c r="W127" s="278">
        <f t="shared" si="94"/>
        <v>0</v>
      </c>
      <c r="X127" s="278">
        <f t="shared" si="95"/>
        <v>0</v>
      </c>
      <c r="Y127" s="278">
        <f t="shared" si="96"/>
        <v>0</v>
      </c>
      <c r="Z127" s="293">
        <f t="shared" si="48"/>
        <v>-0.68934449430838873</v>
      </c>
      <c r="AA127" s="293">
        <f t="shared" si="49"/>
        <v>-1.7567166145278295</v>
      </c>
      <c r="AB127" s="293">
        <f t="shared" si="89"/>
        <v>-1.1830040999098801</v>
      </c>
      <c r="AC127" s="278">
        <f t="shared" si="50"/>
        <v>0</v>
      </c>
      <c r="AD127" s="278">
        <f t="shared" si="51"/>
        <v>0</v>
      </c>
      <c r="AE127" s="278">
        <f t="shared" si="52"/>
        <v>0</v>
      </c>
      <c r="AF127" s="293">
        <f t="shared" si="53"/>
        <v>0</v>
      </c>
      <c r="AG127" s="293">
        <f t="shared" si="54"/>
        <v>0</v>
      </c>
      <c r="AH127" s="293">
        <f t="shared" si="55"/>
        <v>0</v>
      </c>
      <c r="AI127" s="1104">
        <f t="shared" si="56"/>
        <v>0</v>
      </c>
      <c r="AJ127" s="223"/>
      <c r="AK127" s="223">
        <f>IFERROR(VLOOKUP('C-sidumine'!Z38,'C-taust'!$C$95:$E$96, 3,FALSE)*$E$83,0)</f>
        <v>1</v>
      </c>
      <c r="AL127" s="305">
        <f t="shared" si="57"/>
        <v>4.5655329999999994</v>
      </c>
      <c r="AM127" s="293">
        <f t="shared" si="58"/>
        <v>60.656366999999996</v>
      </c>
      <c r="AN127" s="278">
        <f t="shared" si="97"/>
        <v>0</v>
      </c>
      <c r="AO127" s="278">
        <f t="shared" si="98"/>
        <v>0</v>
      </c>
      <c r="AP127" s="278">
        <f t="shared" si="99"/>
        <v>0</v>
      </c>
      <c r="AQ127" s="293">
        <f t="shared" si="59"/>
        <v>-0.71236905051930755</v>
      </c>
      <c r="AR127" s="293">
        <f t="shared" si="60"/>
        <v>-1.815392096484687</v>
      </c>
      <c r="AS127" s="293">
        <f t="shared" si="61"/>
        <v>-1.2225172092782954</v>
      </c>
      <c r="AT127" s="278">
        <f t="shared" si="62"/>
        <v>0</v>
      </c>
      <c r="AU127" s="278">
        <f t="shared" si="63"/>
        <v>0</v>
      </c>
      <c r="AV127" s="278">
        <f t="shared" si="64"/>
        <v>0</v>
      </c>
      <c r="AW127" s="293">
        <f t="shared" si="65"/>
        <v>0</v>
      </c>
      <c r="AX127" s="293">
        <f t="shared" si="66"/>
        <v>0</v>
      </c>
      <c r="AY127" s="293">
        <f t="shared" si="67"/>
        <v>0</v>
      </c>
      <c r="AZ127" s="1104">
        <f t="shared" si="68"/>
        <v>0</v>
      </c>
      <c r="BA127" s="223"/>
      <c r="BB127" s="223">
        <f>IFERROR(VLOOKUP('C-sidumine'!Z38,'C-taust'!$C$95:$E$96, 3,FALSE)*$E$84,0)</f>
        <v>0.98</v>
      </c>
      <c r="BC127" s="305">
        <f t="shared" si="26"/>
        <v>4.4026780000000008</v>
      </c>
      <c r="BD127" s="293">
        <f t="shared" si="27"/>
        <v>58.492722000000008</v>
      </c>
      <c r="BE127" s="278">
        <f t="shared" si="100"/>
        <v>0</v>
      </c>
      <c r="BF127" s="278">
        <f t="shared" si="101"/>
        <v>0</v>
      </c>
      <c r="BG127" s="278">
        <f t="shared" si="102"/>
        <v>0</v>
      </c>
      <c r="BH127" s="293">
        <f t="shared" si="69"/>
        <v>-0.67321929677656478</v>
      </c>
      <c r="BI127" s="293">
        <f t="shared" si="70"/>
        <v>-1.715623369204794</v>
      </c>
      <c r="BJ127" s="293">
        <f t="shared" si="71"/>
        <v>-1.1553311802746209</v>
      </c>
      <c r="BK127" s="278">
        <f t="shared" si="72"/>
        <v>0</v>
      </c>
      <c r="BL127" s="278">
        <f t="shared" si="73"/>
        <v>0</v>
      </c>
      <c r="BM127" s="278">
        <f t="shared" si="74"/>
        <v>0</v>
      </c>
      <c r="BN127" s="293">
        <f t="shared" si="75"/>
        <v>0</v>
      </c>
      <c r="BO127" s="293">
        <f t="shared" si="76"/>
        <v>0</v>
      </c>
      <c r="BP127" s="293">
        <f t="shared" si="77"/>
        <v>0</v>
      </c>
      <c r="BQ127" s="278">
        <f t="shared" si="78"/>
        <v>0</v>
      </c>
      <c r="BR127" s="223"/>
      <c r="BS127" s="1091">
        <f>IFERROR(VLOOKUP('C-sidumine'!Z38,'C-taust'!$C$95:$E$96, 3,FALSE)*$E$85,0)</f>
        <v>0.95</v>
      </c>
      <c r="BT127" s="305">
        <f t="shared" si="31"/>
        <v>3.9677400000000005</v>
      </c>
      <c r="BU127" s="293">
        <f t="shared" si="32"/>
        <v>52.714260000000003</v>
      </c>
      <c r="BV127" s="278">
        <f t="shared" si="103"/>
        <v>0</v>
      </c>
      <c r="BW127" s="278">
        <f t="shared" si="104"/>
        <v>0</v>
      </c>
      <c r="BX127" s="278">
        <f t="shared" si="105"/>
        <v>0</v>
      </c>
      <c r="BY127" s="293">
        <f t="shared" si="79"/>
        <v>-0.58813952668442093</v>
      </c>
      <c r="BZ127" s="293">
        <f t="shared" si="80"/>
        <v>-1.4988071809054597</v>
      </c>
      <c r="CA127" s="293">
        <f t="shared" si="81"/>
        <v>-1.0093233167616513</v>
      </c>
      <c r="CB127" s="278">
        <f t="shared" si="82"/>
        <v>0</v>
      </c>
      <c r="CC127" s="278">
        <f t="shared" si="83"/>
        <v>0</v>
      </c>
      <c r="CD127" s="278">
        <f t="shared" si="84"/>
        <v>0</v>
      </c>
      <c r="CE127" s="293">
        <f t="shared" si="85"/>
        <v>0</v>
      </c>
      <c r="CF127" s="293">
        <f t="shared" si="86"/>
        <v>0</v>
      </c>
      <c r="CG127" s="293">
        <f t="shared" si="87"/>
        <v>0</v>
      </c>
      <c r="CH127" s="278">
        <f t="shared" si="88"/>
        <v>0</v>
      </c>
      <c r="CI127" s="223"/>
      <c r="CJ127" s="1092"/>
    </row>
    <row r="128" spans="2:88" ht="17.5">
      <c r="B128" s="223">
        <f>IFERROR(VLOOKUP('C-sidumine'!Z39,'C-taust'!$C$95:$E$96, 3,FALSE)*$E$81,0)</f>
        <v>0.75</v>
      </c>
      <c r="C128" s="223">
        <f>'C-sidumine'!D39</f>
        <v>0</v>
      </c>
      <c r="D128" s="1097">
        <f t="shared" si="16"/>
        <v>4.6020519999999996</v>
      </c>
      <c r="E128" s="223">
        <f t="shared" si="17"/>
        <v>61.141547999999993</v>
      </c>
      <c r="F128" s="278">
        <f>'C-taust'!AB46</f>
        <v>0</v>
      </c>
      <c r="G128" s="278">
        <f t="shared" si="90"/>
        <v>0</v>
      </c>
      <c r="H128" s="278">
        <f t="shared" si="91"/>
        <v>0</v>
      </c>
      <c r="I128" s="293">
        <f t="shared" si="92"/>
        <v>-0.53855038617842876</v>
      </c>
      <c r="J128" s="293">
        <f t="shared" si="39"/>
        <v>-1.3724348550998668</v>
      </c>
      <c r="K128" s="293">
        <f t="shared" si="93"/>
        <v>-0.92422195305459387</v>
      </c>
      <c r="L128" s="278">
        <f t="shared" si="41"/>
        <v>0</v>
      </c>
      <c r="M128" s="278">
        <f t="shared" si="42"/>
        <v>0</v>
      </c>
      <c r="N128" s="278">
        <f t="shared" si="43"/>
        <v>0</v>
      </c>
      <c r="O128" s="293">
        <f t="shared" si="44"/>
        <v>0</v>
      </c>
      <c r="P128" s="293">
        <f t="shared" si="45"/>
        <v>0</v>
      </c>
      <c r="Q128" s="293">
        <f t="shared" si="46"/>
        <v>0</v>
      </c>
      <c r="R128" s="1104">
        <f t="shared" si="47"/>
        <v>0</v>
      </c>
      <c r="S128" s="293"/>
      <c r="T128" s="223">
        <f>IFERROR(VLOOKUP('C-sidumine'!Z39,'C-taust'!$C$95:$E$96, 3,FALSE)*$E$82,0)</f>
        <v>0.96</v>
      </c>
      <c r="U128" s="305">
        <f t="shared" si="18"/>
        <v>4.6020519999999996</v>
      </c>
      <c r="V128" s="293">
        <f t="shared" si="19"/>
        <v>61.141547999999993</v>
      </c>
      <c r="W128" s="278">
        <f t="shared" si="94"/>
        <v>0</v>
      </c>
      <c r="X128" s="278">
        <f t="shared" si="95"/>
        <v>0</v>
      </c>
      <c r="Y128" s="278">
        <f t="shared" si="96"/>
        <v>0</v>
      </c>
      <c r="Z128" s="293">
        <f t="shared" si="48"/>
        <v>-0.68934449430838873</v>
      </c>
      <c r="AA128" s="293">
        <f t="shared" si="49"/>
        <v>-1.7567166145278295</v>
      </c>
      <c r="AB128" s="293">
        <f t="shared" si="89"/>
        <v>-1.1830040999098801</v>
      </c>
      <c r="AC128" s="278">
        <f t="shared" si="50"/>
        <v>0</v>
      </c>
      <c r="AD128" s="278">
        <f t="shared" si="51"/>
        <v>0</v>
      </c>
      <c r="AE128" s="278">
        <f t="shared" si="52"/>
        <v>0</v>
      </c>
      <c r="AF128" s="293">
        <f t="shared" si="53"/>
        <v>0</v>
      </c>
      <c r="AG128" s="293">
        <f t="shared" si="54"/>
        <v>0</v>
      </c>
      <c r="AH128" s="293">
        <f t="shared" si="55"/>
        <v>0</v>
      </c>
      <c r="AI128" s="1104">
        <f t="shared" si="56"/>
        <v>0</v>
      </c>
      <c r="AJ128" s="223"/>
      <c r="AK128" s="223">
        <f>IFERROR(VLOOKUP('C-sidumine'!Z39,'C-taust'!$C$95:$E$96, 3,FALSE)*$E$83,0)</f>
        <v>1</v>
      </c>
      <c r="AL128" s="305">
        <f t="shared" si="57"/>
        <v>4.5655329999999994</v>
      </c>
      <c r="AM128" s="293">
        <f t="shared" si="58"/>
        <v>60.656366999999996</v>
      </c>
      <c r="AN128" s="278">
        <f t="shared" si="97"/>
        <v>0</v>
      </c>
      <c r="AO128" s="278">
        <f t="shared" si="98"/>
        <v>0</v>
      </c>
      <c r="AP128" s="278">
        <f t="shared" si="99"/>
        <v>0</v>
      </c>
      <c r="AQ128" s="293">
        <f t="shared" si="59"/>
        <v>-0.71236905051930755</v>
      </c>
      <c r="AR128" s="293">
        <f t="shared" si="60"/>
        <v>-1.815392096484687</v>
      </c>
      <c r="AS128" s="293">
        <f t="shared" si="61"/>
        <v>-1.2225172092782954</v>
      </c>
      <c r="AT128" s="278">
        <f t="shared" si="62"/>
        <v>0</v>
      </c>
      <c r="AU128" s="278">
        <f t="shared" si="63"/>
        <v>0</v>
      </c>
      <c r="AV128" s="278">
        <f t="shared" si="64"/>
        <v>0</v>
      </c>
      <c r="AW128" s="293">
        <f t="shared" si="65"/>
        <v>0</v>
      </c>
      <c r="AX128" s="293">
        <f t="shared" si="66"/>
        <v>0</v>
      </c>
      <c r="AY128" s="293">
        <f t="shared" si="67"/>
        <v>0</v>
      </c>
      <c r="AZ128" s="1104">
        <f t="shared" si="68"/>
        <v>0</v>
      </c>
      <c r="BA128" s="223"/>
      <c r="BB128" s="223">
        <f>IFERROR(VLOOKUP('C-sidumine'!Z39,'C-taust'!$C$95:$E$96, 3,FALSE)*$E$84,0)</f>
        <v>0.98</v>
      </c>
      <c r="BC128" s="305">
        <f t="shared" si="26"/>
        <v>4.4026780000000008</v>
      </c>
      <c r="BD128" s="293">
        <f t="shared" si="27"/>
        <v>58.492722000000008</v>
      </c>
      <c r="BE128" s="278">
        <f t="shared" si="100"/>
        <v>0</v>
      </c>
      <c r="BF128" s="278">
        <f t="shared" si="101"/>
        <v>0</v>
      </c>
      <c r="BG128" s="278">
        <f t="shared" si="102"/>
        <v>0</v>
      </c>
      <c r="BH128" s="293">
        <f t="shared" si="69"/>
        <v>-0.67321929677656478</v>
      </c>
      <c r="BI128" s="293">
        <f t="shared" si="70"/>
        <v>-1.715623369204794</v>
      </c>
      <c r="BJ128" s="293">
        <f t="shared" si="71"/>
        <v>-1.1553311802746209</v>
      </c>
      <c r="BK128" s="278">
        <f t="shared" si="72"/>
        <v>0</v>
      </c>
      <c r="BL128" s="278">
        <f t="shared" si="73"/>
        <v>0</v>
      </c>
      <c r="BM128" s="278">
        <f t="shared" si="74"/>
        <v>0</v>
      </c>
      <c r="BN128" s="293">
        <f t="shared" si="75"/>
        <v>0</v>
      </c>
      <c r="BO128" s="293">
        <f t="shared" si="76"/>
        <v>0</v>
      </c>
      <c r="BP128" s="293">
        <f t="shared" si="77"/>
        <v>0</v>
      </c>
      <c r="BQ128" s="278">
        <f t="shared" si="78"/>
        <v>0</v>
      </c>
      <c r="BR128" s="223"/>
      <c r="BS128" s="1091">
        <f>IFERROR(VLOOKUP('C-sidumine'!Z39,'C-taust'!$C$95:$E$96, 3,FALSE)*$E$85,0)</f>
        <v>0.95</v>
      </c>
      <c r="BT128" s="305">
        <f t="shared" si="31"/>
        <v>3.9677400000000005</v>
      </c>
      <c r="BU128" s="293">
        <f t="shared" si="32"/>
        <v>52.714260000000003</v>
      </c>
      <c r="BV128" s="278">
        <f t="shared" si="103"/>
        <v>0</v>
      </c>
      <c r="BW128" s="278">
        <f t="shared" si="104"/>
        <v>0</v>
      </c>
      <c r="BX128" s="278">
        <f t="shared" si="105"/>
        <v>0</v>
      </c>
      <c r="BY128" s="293">
        <f t="shared" si="79"/>
        <v>-0.58813952668442093</v>
      </c>
      <c r="BZ128" s="293">
        <f t="shared" si="80"/>
        <v>-1.4988071809054597</v>
      </c>
      <c r="CA128" s="293">
        <f t="shared" si="81"/>
        <v>-1.0093233167616513</v>
      </c>
      <c r="CB128" s="278">
        <f t="shared" si="82"/>
        <v>0</v>
      </c>
      <c r="CC128" s="278">
        <f t="shared" si="83"/>
        <v>0</v>
      </c>
      <c r="CD128" s="278">
        <f t="shared" si="84"/>
        <v>0</v>
      </c>
      <c r="CE128" s="293">
        <f t="shared" si="85"/>
        <v>0</v>
      </c>
      <c r="CF128" s="293">
        <f t="shared" si="86"/>
        <v>0</v>
      </c>
      <c r="CG128" s="293">
        <f t="shared" si="87"/>
        <v>0</v>
      </c>
      <c r="CH128" s="278">
        <f t="shared" si="88"/>
        <v>0</v>
      </c>
      <c r="CI128" s="223"/>
      <c r="CJ128" s="1092"/>
    </row>
    <row r="129" spans="2:88" ht="17.5">
      <c r="B129" s="223">
        <f>IFERROR(VLOOKUP('C-sidumine'!Z40,'C-taust'!$C$95:$E$96, 3,FALSE)*$E$81,0)</f>
        <v>0.75</v>
      </c>
      <c r="C129" s="223">
        <f>'C-sidumine'!D40</f>
        <v>0</v>
      </c>
      <c r="D129" s="1097">
        <f t="shared" si="16"/>
        <v>4.6020519999999996</v>
      </c>
      <c r="E129" s="223">
        <f t="shared" si="17"/>
        <v>61.141547999999993</v>
      </c>
      <c r="F129" s="278">
        <f>'C-taust'!AB47</f>
        <v>0</v>
      </c>
      <c r="G129" s="278">
        <f t="shared" si="90"/>
        <v>0</v>
      </c>
      <c r="H129" s="278">
        <f t="shared" si="91"/>
        <v>0</v>
      </c>
      <c r="I129" s="293">
        <f t="shared" si="92"/>
        <v>-0.53855038617842876</v>
      </c>
      <c r="J129" s="293">
        <f t="shared" si="39"/>
        <v>-1.3724348550998668</v>
      </c>
      <c r="K129" s="293">
        <f t="shared" si="93"/>
        <v>-0.92422195305459387</v>
      </c>
      <c r="L129" s="278">
        <f t="shared" si="41"/>
        <v>0</v>
      </c>
      <c r="M129" s="278">
        <f t="shared" si="42"/>
        <v>0</v>
      </c>
      <c r="N129" s="278">
        <f t="shared" si="43"/>
        <v>0</v>
      </c>
      <c r="O129" s="293">
        <f t="shared" si="44"/>
        <v>0</v>
      </c>
      <c r="P129" s="293">
        <f t="shared" si="45"/>
        <v>0</v>
      </c>
      <c r="Q129" s="293">
        <f t="shared" si="46"/>
        <v>0</v>
      </c>
      <c r="R129" s="1104">
        <f t="shared" si="47"/>
        <v>0</v>
      </c>
      <c r="S129" s="293"/>
      <c r="T129" s="223">
        <f>IFERROR(VLOOKUP('C-sidumine'!Z40,'C-taust'!$C$95:$E$96, 3,FALSE)*$E$82,0)</f>
        <v>0.96</v>
      </c>
      <c r="U129" s="305">
        <f t="shared" si="18"/>
        <v>4.6020519999999996</v>
      </c>
      <c r="V129" s="293">
        <f t="shared" si="19"/>
        <v>61.141547999999993</v>
      </c>
      <c r="W129" s="278">
        <f t="shared" si="94"/>
        <v>0</v>
      </c>
      <c r="X129" s="278">
        <f t="shared" si="95"/>
        <v>0</v>
      </c>
      <c r="Y129" s="278">
        <f t="shared" si="96"/>
        <v>0</v>
      </c>
      <c r="Z129" s="293">
        <f t="shared" si="48"/>
        <v>-0.68934449430838873</v>
      </c>
      <c r="AA129" s="293">
        <f t="shared" si="49"/>
        <v>-1.7567166145278295</v>
      </c>
      <c r="AB129" s="293">
        <f t="shared" si="89"/>
        <v>-1.1830040999098801</v>
      </c>
      <c r="AC129" s="278">
        <f t="shared" si="50"/>
        <v>0</v>
      </c>
      <c r="AD129" s="278">
        <f t="shared" si="51"/>
        <v>0</v>
      </c>
      <c r="AE129" s="278">
        <f t="shared" si="52"/>
        <v>0</v>
      </c>
      <c r="AF129" s="293">
        <f t="shared" si="53"/>
        <v>0</v>
      </c>
      <c r="AG129" s="293">
        <f t="shared" si="54"/>
        <v>0</v>
      </c>
      <c r="AH129" s="293">
        <f t="shared" si="55"/>
        <v>0</v>
      </c>
      <c r="AI129" s="1104">
        <f t="shared" si="56"/>
        <v>0</v>
      </c>
      <c r="AJ129" s="223"/>
      <c r="AK129" s="223">
        <f>IFERROR(VLOOKUP('C-sidumine'!Z40,'C-taust'!$C$95:$E$96, 3,FALSE)*$E$83,0)</f>
        <v>1</v>
      </c>
      <c r="AL129" s="305">
        <f t="shared" si="57"/>
        <v>4.5655329999999994</v>
      </c>
      <c r="AM129" s="293">
        <f t="shared" si="58"/>
        <v>60.656366999999996</v>
      </c>
      <c r="AN129" s="278">
        <f t="shared" si="97"/>
        <v>0</v>
      </c>
      <c r="AO129" s="278">
        <f t="shared" si="98"/>
        <v>0</v>
      </c>
      <c r="AP129" s="278">
        <f t="shared" si="99"/>
        <v>0</v>
      </c>
      <c r="AQ129" s="293">
        <f t="shared" si="59"/>
        <v>-0.71236905051930755</v>
      </c>
      <c r="AR129" s="293">
        <f t="shared" si="60"/>
        <v>-1.815392096484687</v>
      </c>
      <c r="AS129" s="293">
        <f t="shared" si="61"/>
        <v>-1.2225172092782954</v>
      </c>
      <c r="AT129" s="278">
        <f t="shared" si="62"/>
        <v>0</v>
      </c>
      <c r="AU129" s="278">
        <f t="shared" si="63"/>
        <v>0</v>
      </c>
      <c r="AV129" s="278">
        <f t="shared" si="64"/>
        <v>0</v>
      </c>
      <c r="AW129" s="293">
        <f t="shared" si="65"/>
        <v>0</v>
      </c>
      <c r="AX129" s="293">
        <f t="shared" si="66"/>
        <v>0</v>
      </c>
      <c r="AY129" s="293">
        <f t="shared" si="67"/>
        <v>0</v>
      </c>
      <c r="AZ129" s="1104">
        <f t="shared" si="68"/>
        <v>0</v>
      </c>
      <c r="BA129" s="223"/>
      <c r="BB129" s="223">
        <f>IFERROR(VLOOKUP('C-sidumine'!Z40,'C-taust'!$C$95:$E$96, 3,FALSE)*$E$84,0)</f>
        <v>0.98</v>
      </c>
      <c r="BC129" s="305">
        <f t="shared" si="26"/>
        <v>4.4026780000000008</v>
      </c>
      <c r="BD129" s="293">
        <f t="shared" si="27"/>
        <v>58.492722000000008</v>
      </c>
      <c r="BE129" s="278">
        <f t="shared" si="100"/>
        <v>0</v>
      </c>
      <c r="BF129" s="278">
        <f t="shared" si="101"/>
        <v>0</v>
      </c>
      <c r="BG129" s="278">
        <f t="shared" si="102"/>
        <v>0</v>
      </c>
      <c r="BH129" s="293">
        <f t="shared" si="69"/>
        <v>-0.67321929677656478</v>
      </c>
      <c r="BI129" s="293">
        <f t="shared" si="70"/>
        <v>-1.715623369204794</v>
      </c>
      <c r="BJ129" s="293">
        <f t="shared" si="71"/>
        <v>-1.1553311802746209</v>
      </c>
      <c r="BK129" s="278">
        <f t="shared" si="72"/>
        <v>0</v>
      </c>
      <c r="BL129" s="278">
        <f t="shared" si="73"/>
        <v>0</v>
      </c>
      <c r="BM129" s="278">
        <f t="shared" si="74"/>
        <v>0</v>
      </c>
      <c r="BN129" s="293">
        <f t="shared" si="75"/>
        <v>0</v>
      </c>
      <c r="BO129" s="293">
        <f t="shared" si="76"/>
        <v>0</v>
      </c>
      <c r="BP129" s="293">
        <f t="shared" si="77"/>
        <v>0</v>
      </c>
      <c r="BQ129" s="278">
        <f>SUM(BN129:BP129) /($E$99*$E$91)</f>
        <v>0</v>
      </c>
      <c r="BR129" s="223"/>
      <c r="BS129" s="1091">
        <f>IFERROR(VLOOKUP('C-sidumine'!Z40,'C-taust'!$C$95:$E$96, 3,FALSE)*$E$85,0)</f>
        <v>0.95</v>
      </c>
      <c r="BT129" s="305">
        <f t="shared" si="31"/>
        <v>3.9677400000000005</v>
      </c>
      <c r="BU129" s="293">
        <f t="shared" si="32"/>
        <v>52.714260000000003</v>
      </c>
      <c r="BV129" s="278">
        <f t="shared" si="103"/>
        <v>0</v>
      </c>
      <c r="BW129" s="278">
        <f t="shared" si="104"/>
        <v>0</v>
      </c>
      <c r="BX129" s="278">
        <f t="shared" si="105"/>
        <v>0</v>
      </c>
      <c r="BY129" s="293">
        <f t="shared" si="79"/>
        <v>-0.58813952668442093</v>
      </c>
      <c r="BZ129" s="293">
        <f t="shared" si="80"/>
        <v>-1.4988071809054597</v>
      </c>
      <c r="CA129" s="293">
        <f t="shared" si="81"/>
        <v>-1.0093233167616513</v>
      </c>
      <c r="CB129" s="278">
        <f t="shared" si="82"/>
        <v>0</v>
      </c>
      <c r="CC129" s="278">
        <f t="shared" si="83"/>
        <v>0</v>
      </c>
      <c r="CD129" s="278">
        <f t="shared" si="84"/>
        <v>0</v>
      </c>
      <c r="CE129" s="293">
        <f t="shared" si="85"/>
        <v>0</v>
      </c>
      <c r="CF129" s="293">
        <f t="shared" si="86"/>
        <v>0</v>
      </c>
      <c r="CG129" s="293">
        <f t="shared" si="87"/>
        <v>0</v>
      </c>
      <c r="CH129" s="278">
        <f t="shared" si="88"/>
        <v>0</v>
      </c>
      <c r="CI129" s="223"/>
      <c r="CJ129" s="1092"/>
    </row>
    <row r="130" spans="2:88" ht="17.5">
      <c r="B130" s="223">
        <f>IFERROR(VLOOKUP('C-sidumine'!Z41,'C-taust'!$C$95:$E$96, 3,FALSE)*$E$81,0)</f>
        <v>0.75</v>
      </c>
      <c r="C130" s="223">
        <f>'C-sidumine'!D41</f>
        <v>0</v>
      </c>
      <c r="D130" s="1097">
        <f t="shared" si="16"/>
        <v>4.6020519999999996</v>
      </c>
      <c r="E130" s="223">
        <f t="shared" si="17"/>
        <v>61.141547999999993</v>
      </c>
      <c r="F130" s="278">
        <f>'C-taust'!AB48</f>
        <v>0</v>
      </c>
      <c r="G130" s="278">
        <f t="shared" si="90"/>
        <v>0</v>
      </c>
      <c r="H130" s="278">
        <f t="shared" si="91"/>
        <v>0</v>
      </c>
      <c r="I130" s="293">
        <f t="shared" si="92"/>
        <v>-0.53855038617842876</v>
      </c>
      <c r="J130" s="293">
        <f t="shared" si="39"/>
        <v>-1.3724348550998668</v>
      </c>
      <c r="K130" s="293">
        <f t="shared" si="93"/>
        <v>-0.92422195305459387</v>
      </c>
      <c r="L130" s="278">
        <f t="shared" si="41"/>
        <v>0</v>
      </c>
      <c r="M130" s="278">
        <f t="shared" si="42"/>
        <v>0</v>
      </c>
      <c r="N130" s="278">
        <f t="shared" si="43"/>
        <v>0</v>
      </c>
      <c r="O130" s="293">
        <f t="shared" si="44"/>
        <v>0</v>
      </c>
      <c r="P130" s="293">
        <f t="shared" si="45"/>
        <v>0</v>
      </c>
      <c r="Q130" s="293">
        <f t="shared" si="46"/>
        <v>0</v>
      </c>
      <c r="R130" s="1104">
        <f t="shared" si="47"/>
        <v>0</v>
      </c>
      <c r="S130" s="223"/>
      <c r="T130" s="223">
        <f>IFERROR(VLOOKUP('C-sidumine'!Z41,'C-taust'!$C$95:$E$96, 3,FALSE)*$E$82,0)</f>
        <v>0.96</v>
      </c>
      <c r="U130" s="305">
        <f t="shared" si="18"/>
        <v>4.6020519999999996</v>
      </c>
      <c r="V130" s="293">
        <f t="shared" si="19"/>
        <v>61.141547999999993</v>
      </c>
      <c r="W130" s="278">
        <f t="shared" si="94"/>
        <v>0</v>
      </c>
      <c r="X130" s="278">
        <f t="shared" si="95"/>
        <v>0</v>
      </c>
      <c r="Y130" s="278">
        <f t="shared" si="96"/>
        <v>0</v>
      </c>
      <c r="Z130" s="293">
        <f t="shared" si="48"/>
        <v>-0.68934449430838873</v>
      </c>
      <c r="AA130" s="293">
        <f t="shared" si="49"/>
        <v>-1.7567166145278295</v>
      </c>
      <c r="AB130" s="293">
        <f t="shared" si="89"/>
        <v>-1.1830040999098801</v>
      </c>
      <c r="AC130" s="278">
        <f t="shared" si="50"/>
        <v>0</v>
      </c>
      <c r="AD130" s="278">
        <f t="shared" si="51"/>
        <v>0</v>
      </c>
      <c r="AE130" s="278">
        <f t="shared" si="52"/>
        <v>0</v>
      </c>
      <c r="AF130" s="293">
        <f t="shared" si="53"/>
        <v>0</v>
      </c>
      <c r="AG130" s="293">
        <f t="shared" si="54"/>
        <v>0</v>
      </c>
      <c r="AH130" s="293">
        <f t="shared" si="55"/>
        <v>0</v>
      </c>
      <c r="AI130" s="1104">
        <f t="shared" si="56"/>
        <v>0</v>
      </c>
      <c r="AJ130" s="223"/>
      <c r="AK130" s="223">
        <f>IFERROR(VLOOKUP('C-sidumine'!Z41,'C-taust'!$C$95:$E$96, 3,FALSE)*$E$83,0)</f>
        <v>1</v>
      </c>
      <c r="AL130" s="305">
        <f t="shared" si="57"/>
        <v>4.5655329999999994</v>
      </c>
      <c r="AM130" s="293">
        <f t="shared" si="58"/>
        <v>60.656366999999996</v>
      </c>
      <c r="AN130" s="278">
        <f t="shared" si="97"/>
        <v>0</v>
      </c>
      <c r="AO130" s="278">
        <f t="shared" si="98"/>
        <v>0</v>
      </c>
      <c r="AP130" s="278">
        <f t="shared" si="99"/>
        <v>0</v>
      </c>
      <c r="AQ130" s="293">
        <f t="shared" si="59"/>
        <v>-0.71236905051930755</v>
      </c>
      <c r="AR130" s="293">
        <f t="shared" si="60"/>
        <v>-1.815392096484687</v>
      </c>
      <c r="AS130" s="293">
        <f t="shared" si="61"/>
        <v>-1.2225172092782954</v>
      </c>
      <c r="AT130" s="278">
        <f t="shared" si="62"/>
        <v>0</v>
      </c>
      <c r="AU130" s="278">
        <f t="shared" si="63"/>
        <v>0</v>
      </c>
      <c r="AV130" s="278">
        <f t="shared" si="64"/>
        <v>0</v>
      </c>
      <c r="AW130" s="293">
        <f t="shared" si="65"/>
        <v>0</v>
      </c>
      <c r="AX130" s="293">
        <f t="shared" si="66"/>
        <v>0</v>
      </c>
      <c r="AY130" s="293">
        <f t="shared" si="67"/>
        <v>0</v>
      </c>
      <c r="AZ130" s="1104">
        <f t="shared" si="68"/>
        <v>0</v>
      </c>
      <c r="BA130" s="223"/>
      <c r="BB130" s="223">
        <f>IFERROR(VLOOKUP('C-sidumine'!Z41,'C-taust'!$C$95:$E$96, 3,FALSE)*$E$84,0)</f>
        <v>0.98</v>
      </c>
      <c r="BC130" s="305">
        <f t="shared" si="26"/>
        <v>4.4026780000000008</v>
      </c>
      <c r="BD130" s="293">
        <f t="shared" si="27"/>
        <v>58.492722000000008</v>
      </c>
      <c r="BE130" s="278">
        <f t="shared" si="100"/>
        <v>0</v>
      </c>
      <c r="BF130" s="278">
        <f t="shared" si="101"/>
        <v>0</v>
      </c>
      <c r="BG130" s="278">
        <f t="shared" si="102"/>
        <v>0</v>
      </c>
      <c r="BH130" s="293">
        <f t="shared" si="69"/>
        <v>-0.67321929677656478</v>
      </c>
      <c r="BI130" s="293">
        <f t="shared" si="70"/>
        <v>-1.715623369204794</v>
      </c>
      <c r="BJ130" s="293">
        <f t="shared" si="71"/>
        <v>-1.1553311802746209</v>
      </c>
      <c r="BK130" s="278">
        <f t="shared" si="72"/>
        <v>0</v>
      </c>
      <c r="BL130" s="278">
        <f t="shared" si="73"/>
        <v>0</v>
      </c>
      <c r="BM130" s="278">
        <f t="shared" si="74"/>
        <v>0</v>
      </c>
      <c r="BN130" s="293">
        <f t="shared" si="75"/>
        <v>0</v>
      </c>
      <c r="BO130" s="293">
        <f t="shared" si="76"/>
        <v>0</v>
      </c>
      <c r="BP130" s="293">
        <f t="shared" si="77"/>
        <v>0</v>
      </c>
      <c r="BQ130" s="278">
        <f t="shared" si="78"/>
        <v>0</v>
      </c>
      <c r="BR130" s="223"/>
      <c r="BS130" s="1091">
        <f>IFERROR(VLOOKUP('C-sidumine'!Z41,'C-taust'!$C$95:$E$96, 3,FALSE)*$E$85,0)</f>
        <v>0.95</v>
      </c>
      <c r="BT130" s="305">
        <f t="shared" si="31"/>
        <v>3.9677400000000005</v>
      </c>
      <c r="BU130" s="293">
        <f t="shared" si="32"/>
        <v>52.714260000000003</v>
      </c>
      <c r="BV130" s="278">
        <f t="shared" si="103"/>
        <v>0</v>
      </c>
      <c r="BW130" s="278">
        <f t="shared" si="104"/>
        <v>0</v>
      </c>
      <c r="BX130" s="278">
        <f t="shared" si="105"/>
        <v>0</v>
      </c>
      <c r="BY130" s="293">
        <f t="shared" si="79"/>
        <v>-0.58813952668442093</v>
      </c>
      <c r="BZ130" s="293">
        <f t="shared" si="80"/>
        <v>-1.4988071809054597</v>
      </c>
      <c r="CA130" s="293">
        <f t="shared" si="81"/>
        <v>-1.0093233167616513</v>
      </c>
      <c r="CB130" s="278">
        <f t="shared" si="82"/>
        <v>0</v>
      </c>
      <c r="CC130" s="278">
        <f t="shared" si="83"/>
        <v>0</v>
      </c>
      <c r="CD130" s="278">
        <f t="shared" si="84"/>
        <v>0</v>
      </c>
      <c r="CE130" s="293">
        <f t="shared" si="85"/>
        <v>0</v>
      </c>
      <c r="CF130" s="293">
        <f t="shared" si="86"/>
        <v>0</v>
      </c>
      <c r="CG130" s="293">
        <f t="shared" si="87"/>
        <v>0</v>
      </c>
      <c r="CH130" s="278">
        <f t="shared" si="88"/>
        <v>0</v>
      </c>
      <c r="CI130" s="223"/>
      <c r="CJ130" s="1092"/>
    </row>
    <row r="131" spans="2:88" ht="17.5">
      <c r="B131" s="223">
        <f>IFERROR(VLOOKUP('C-sidumine'!Z42,'C-taust'!$C$95:$E$96, 3,FALSE)*$E$81,0)</f>
        <v>0.75</v>
      </c>
      <c r="C131" s="223">
        <f>'C-sidumine'!D42</f>
        <v>0</v>
      </c>
      <c r="D131" s="1097">
        <f t="shared" si="16"/>
        <v>4.6020519999999996</v>
      </c>
      <c r="E131" s="223">
        <f t="shared" si="17"/>
        <v>61.141547999999993</v>
      </c>
      <c r="F131" s="278">
        <f>'C-taust'!AB49</f>
        <v>0</v>
      </c>
      <c r="G131" s="278">
        <f t="shared" si="90"/>
        <v>0</v>
      </c>
      <c r="H131" s="278">
        <f t="shared" si="91"/>
        <v>0</v>
      </c>
      <c r="I131" s="293">
        <f t="shared" si="92"/>
        <v>-0.53855038617842876</v>
      </c>
      <c r="J131" s="293">
        <f t="shared" si="39"/>
        <v>-1.3724348550998668</v>
      </c>
      <c r="K131" s="293">
        <f t="shared" si="93"/>
        <v>-0.92422195305459387</v>
      </c>
      <c r="L131" s="278">
        <f t="shared" si="41"/>
        <v>0</v>
      </c>
      <c r="M131" s="278">
        <f t="shared" si="42"/>
        <v>0</v>
      </c>
      <c r="N131" s="278">
        <f t="shared" si="43"/>
        <v>0</v>
      </c>
      <c r="O131" s="293">
        <f t="shared" si="44"/>
        <v>0</v>
      </c>
      <c r="P131" s="293">
        <f t="shared" si="45"/>
        <v>0</v>
      </c>
      <c r="Q131" s="293">
        <f t="shared" si="46"/>
        <v>0</v>
      </c>
      <c r="R131" s="1104">
        <f t="shared" si="47"/>
        <v>0</v>
      </c>
      <c r="S131" s="223"/>
      <c r="T131" s="223">
        <f>IFERROR(VLOOKUP('C-sidumine'!Z42,'C-taust'!$C$95:$E$96, 3,FALSE)*$E$82,0)</f>
        <v>0.96</v>
      </c>
      <c r="U131" s="305">
        <f t="shared" si="18"/>
        <v>4.6020519999999996</v>
      </c>
      <c r="V131" s="293">
        <f t="shared" si="19"/>
        <v>61.141547999999993</v>
      </c>
      <c r="W131" s="278">
        <f t="shared" si="94"/>
        <v>0</v>
      </c>
      <c r="X131" s="278">
        <f t="shared" si="95"/>
        <v>0</v>
      </c>
      <c r="Y131" s="278">
        <f t="shared" si="96"/>
        <v>0</v>
      </c>
      <c r="Z131" s="293">
        <f t="shared" si="48"/>
        <v>-0.68934449430838873</v>
      </c>
      <c r="AA131" s="293">
        <f t="shared" si="49"/>
        <v>-1.7567166145278295</v>
      </c>
      <c r="AB131" s="293">
        <f t="shared" si="89"/>
        <v>-1.1830040999098801</v>
      </c>
      <c r="AC131" s="278">
        <f t="shared" si="50"/>
        <v>0</v>
      </c>
      <c r="AD131" s="278">
        <f t="shared" si="51"/>
        <v>0</v>
      </c>
      <c r="AE131" s="278">
        <f t="shared" si="52"/>
        <v>0</v>
      </c>
      <c r="AF131" s="293">
        <f t="shared" si="53"/>
        <v>0</v>
      </c>
      <c r="AG131" s="293">
        <f t="shared" si="54"/>
        <v>0</v>
      </c>
      <c r="AH131" s="293">
        <f t="shared" si="55"/>
        <v>0</v>
      </c>
      <c r="AI131" s="1104">
        <f t="shared" si="56"/>
        <v>0</v>
      </c>
      <c r="AJ131" s="223"/>
      <c r="AK131" s="223">
        <f>IFERROR(VLOOKUP('C-sidumine'!Z42,'C-taust'!$C$95:$E$96, 3,FALSE)*$E$83,0)</f>
        <v>1</v>
      </c>
      <c r="AL131" s="305">
        <f t="shared" si="57"/>
        <v>4.5655329999999994</v>
      </c>
      <c r="AM131" s="293">
        <f t="shared" si="58"/>
        <v>60.656366999999996</v>
      </c>
      <c r="AN131" s="278">
        <f t="shared" si="97"/>
        <v>0</v>
      </c>
      <c r="AO131" s="278">
        <f t="shared" si="98"/>
        <v>0</v>
      </c>
      <c r="AP131" s="278">
        <f t="shared" si="99"/>
        <v>0</v>
      </c>
      <c r="AQ131" s="293">
        <f t="shared" si="59"/>
        <v>-0.71236905051930755</v>
      </c>
      <c r="AR131" s="293">
        <f t="shared" si="60"/>
        <v>-1.815392096484687</v>
      </c>
      <c r="AS131" s="293">
        <f t="shared" si="61"/>
        <v>-1.2225172092782954</v>
      </c>
      <c r="AT131" s="278">
        <f t="shared" si="62"/>
        <v>0</v>
      </c>
      <c r="AU131" s="278">
        <f t="shared" si="63"/>
        <v>0</v>
      </c>
      <c r="AV131" s="278">
        <f t="shared" si="64"/>
        <v>0</v>
      </c>
      <c r="AW131" s="293">
        <f t="shared" si="65"/>
        <v>0</v>
      </c>
      <c r="AX131" s="293">
        <f t="shared" si="66"/>
        <v>0</v>
      </c>
      <c r="AY131" s="293">
        <f t="shared" si="67"/>
        <v>0</v>
      </c>
      <c r="AZ131" s="1104">
        <f t="shared" si="68"/>
        <v>0</v>
      </c>
      <c r="BA131" s="223"/>
      <c r="BB131" s="223">
        <f>IFERROR(VLOOKUP('C-sidumine'!Z42,'C-taust'!$C$95:$E$96, 3,FALSE)*$E$84,0)</f>
        <v>0.98</v>
      </c>
      <c r="BC131" s="305">
        <f t="shared" si="26"/>
        <v>4.4026780000000008</v>
      </c>
      <c r="BD131" s="293">
        <f t="shared" si="27"/>
        <v>58.492722000000008</v>
      </c>
      <c r="BE131" s="278">
        <f t="shared" si="100"/>
        <v>0</v>
      </c>
      <c r="BF131" s="278">
        <f t="shared" si="101"/>
        <v>0</v>
      </c>
      <c r="BG131" s="278">
        <f t="shared" si="102"/>
        <v>0</v>
      </c>
      <c r="BH131" s="293">
        <f t="shared" si="69"/>
        <v>-0.67321929677656478</v>
      </c>
      <c r="BI131" s="293">
        <f t="shared" si="70"/>
        <v>-1.715623369204794</v>
      </c>
      <c r="BJ131" s="293">
        <f t="shared" si="71"/>
        <v>-1.1553311802746209</v>
      </c>
      <c r="BK131" s="278">
        <f t="shared" si="72"/>
        <v>0</v>
      </c>
      <c r="BL131" s="278">
        <f t="shared" si="73"/>
        <v>0</v>
      </c>
      <c r="BM131" s="278">
        <f t="shared" si="74"/>
        <v>0</v>
      </c>
      <c r="BN131" s="293">
        <f t="shared" si="75"/>
        <v>0</v>
      </c>
      <c r="BO131" s="293">
        <f t="shared" si="76"/>
        <v>0</v>
      </c>
      <c r="BP131" s="293">
        <f t="shared" si="77"/>
        <v>0</v>
      </c>
      <c r="BQ131" s="278">
        <f t="shared" si="78"/>
        <v>0</v>
      </c>
      <c r="BR131" s="223"/>
      <c r="BS131" s="1091">
        <f>IFERROR(VLOOKUP('C-sidumine'!Z42,'C-taust'!$C$95:$E$96, 3,FALSE)*$E$85,0)</f>
        <v>0.95</v>
      </c>
      <c r="BT131" s="305">
        <f t="shared" si="31"/>
        <v>3.9677400000000005</v>
      </c>
      <c r="BU131" s="293">
        <f t="shared" si="32"/>
        <v>52.714260000000003</v>
      </c>
      <c r="BV131" s="278">
        <f t="shared" si="103"/>
        <v>0</v>
      </c>
      <c r="BW131" s="278">
        <f t="shared" si="104"/>
        <v>0</v>
      </c>
      <c r="BX131" s="278">
        <f t="shared" si="105"/>
        <v>0</v>
      </c>
      <c r="BY131" s="293">
        <f t="shared" si="79"/>
        <v>-0.58813952668442093</v>
      </c>
      <c r="BZ131" s="293">
        <f t="shared" si="80"/>
        <v>-1.4988071809054597</v>
      </c>
      <c r="CA131" s="293">
        <f t="shared" si="81"/>
        <v>-1.0093233167616513</v>
      </c>
      <c r="CB131" s="278">
        <f t="shared" si="82"/>
        <v>0</v>
      </c>
      <c r="CC131" s="278">
        <f t="shared" si="83"/>
        <v>0</v>
      </c>
      <c r="CD131" s="278">
        <f t="shared" si="84"/>
        <v>0</v>
      </c>
      <c r="CE131" s="293">
        <f t="shared" si="85"/>
        <v>0</v>
      </c>
      <c r="CF131" s="293">
        <f t="shared" si="86"/>
        <v>0</v>
      </c>
      <c r="CG131" s="293">
        <f t="shared" si="87"/>
        <v>0</v>
      </c>
      <c r="CH131" s="278">
        <f t="shared" si="88"/>
        <v>0</v>
      </c>
      <c r="CI131" s="223"/>
      <c r="CJ131" s="1092"/>
    </row>
    <row r="132" spans="2:88" ht="17.5">
      <c r="B132" s="223">
        <f>IFERROR(VLOOKUP('C-sidumine'!Z43,'C-taust'!$C$95:$E$96, 3,FALSE)*$E$81,0)</f>
        <v>0.75</v>
      </c>
      <c r="C132" s="223">
        <f>'C-sidumine'!D43</f>
        <v>0</v>
      </c>
      <c r="D132" s="1097">
        <f t="shared" si="16"/>
        <v>4.6020519999999996</v>
      </c>
      <c r="E132" s="223">
        <f t="shared" si="17"/>
        <v>61.141547999999993</v>
      </c>
      <c r="F132" s="278">
        <f>'C-taust'!AB50</f>
        <v>0</v>
      </c>
      <c r="G132" s="278">
        <f t="shared" si="90"/>
        <v>0</v>
      </c>
      <c r="H132" s="278">
        <f t="shared" si="91"/>
        <v>0</v>
      </c>
      <c r="I132" s="293">
        <f t="shared" si="92"/>
        <v>-0.53855038617842876</v>
      </c>
      <c r="J132" s="293">
        <f t="shared" si="39"/>
        <v>-1.3724348550998668</v>
      </c>
      <c r="K132" s="293">
        <f t="shared" si="93"/>
        <v>-0.92422195305459387</v>
      </c>
      <c r="L132" s="278">
        <f t="shared" si="41"/>
        <v>0</v>
      </c>
      <c r="M132" s="278">
        <f t="shared" si="42"/>
        <v>0</v>
      </c>
      <c r="N132" s="278">
        <f t="shared" si="43"/>
        <v>0</v>
      </c>
      <c r="O132" s="293">
        <f t="shared" si="44"/>
        <v>0</v>
      </c>
      <c r="P132" s="293">
        <f t="shared" si="45"/>
        <v>0</v>
      </c>
      <c r="Q132" s="293">
        <f t="shared" si="46"/>
        <v>0</v>
      </c>
      <c r="R132" s="1104">
        <f t="shared" si="47"/>
        <v>0</v>
      </c>
      <c r="S132" s="223"/>
      <c r="T132" s="223">
        <f>IFERROR(VLOOKUP('C-sidumine'!Z43,'C-taust'!$C$95:$E$96, 3,FALSE)*$E$82,0)</f>
        <v>0.96</v>
      </c>
      <c r="U132" s="305">
        <f t="shared" si="18"/>
        <v>4.6020519999999996</v>
      </c>
      <c r="V132" s="293">
        <f t="shared" si="19"/>
        <v>61.141547999999993</v>
      </c>
      <c r="W132" s="278">
        <f t="shared" si="94"/>
        <v>0</v>
      </c>
      <c r="X132" s="278">
        <f t="shared" si="95"/>
        <v>0</v>
      </c>
      <c r="Y132" s="278">
        <f t="shared" si="96"/>
        <v>0</v>
      </c>
      <c r="Z132" s="293">
        <f t="shared" si="48"/>
        <v>-0.68934449430838873</v>
      </c>
      <c r="AA132" s="293">
        <f t="shared" si="49"/>
        <v>-1.7567166145278295</v>
      </c>
      <c r="AB132" s="293">
        <f t="shared" si="89"/>
        <v>-1.1830040999098801</v>
      </c>
      <c r="AC132" s="278">
        <f t="shared" si="50"/>
        <v>0</v>
      </c>
      <c r="AD132" s="278">
        <f t="shared" si="51"/>
        <v>0</v>
      </c>
      <c r="AE132" s="278">
        <f t="shared" si="52"/>
        <v>0</v>
      </c>
      <c r="AF132" s="293">
        <f t="shared" si="53"/>
        <v>0</v>
      </c>
      <c r="AG132" s="293">
        <f t="shared" si="54"/>
        <v>0</v>
      </c>
      <c r="AH132" s="293">
        <f t="shared" si="55"/>
        <v>0</v>
      </c>
      <c r="AI132" s="1104">
        <f t="shared" si="56"/>
        <v>0</v>
      </c>
      <c r="AJ132" s="223"/>
      <c r="AK132" s="223">
        <f>IFERROR(VLOOKUP('C-sidumine'!Z43,'C-taust'!$C$95:$E$96, 3,FALSE)*$E$83,0)</f>
        <v>1</v>
      </c>
      <c r="AL132" s="305">
        <f t="shared" si="57"/>
        <v>4.5655329999999994</v>
      </c>
      <c r="AM132" s="293">
        <f t="shared" si="58"/>
        <v>60.656366999999996</v>
      </c>
      <c r="AN132" s="278">
        <f t="shared" si="97"/>
        <v>0</v>
      </c>
      <c r="AO132" s="278">
        <f t="shared" si="98"/>
        <v>0</v>
      </c>
      <c r="AP132" s="278">
        <f t="shared" si="99"/>
        <v>0</v>
      </c>
      <c r="AQ132" s="293">
        <f t="shared" si="59"/>
        <v>-0.71236905051930755</v>
      </c>
      <c r="AR132" s="293">
        <f t="shared" si="60"/>
        <v>-1.815392096484687</v>
      </c>
      <c r="AS132" s="293">
        <f t="shared" si="61"/>
        <v>-1.2225172092782954</v>
      </c>
      <c r="AT132" s="278">
        <f t="shared" si="62"/>
        <v>0</v>
      </c>
      <c r="AU132" s="278">
        <f t="shared" si="63"/>
        <v>0</v>
      </c>
      <c r="AV132" s="278">
        <f t="shared" si="64"/>
        <v>0</v>
      </c>
      <c r="AW132" s="293">
        <f t="shared" si="65"/>
        <v>0</v>
      </c>
      <c r="AX132" s="293">
        <f t="shared" si="66"/>
        <v>0</v>
      </c>
      <c r="AY132" s="293">
        <f t="shared" si="67"/>
        <v>0</v>
      </c>
      <c r="AZ132" s="1104">
        <f t="shared" si="68"/>
        <v>0</v>
      </c>
      <c r="BA132" s="223"/>
      <c r="BB132" s="223">
        <f>IFERROR(VLOOKUP('C-sidumine'!Z43,'C-taust'!$C$95:$E$96, 3,FALSE)*$E$84,0)</f>
        <v>0.98</v>
      </c>
      <c r="BC132" s="305">
        <f t="shared" si="26"/>
        <v>4.4026780000000008</v>
      </c>
      <c r="BD132" s="293">
        <f t="shared" si="27"/>
        <v>58.492722000000008</v>
      </c>
      <c r="BE132" s="278">
        <f t="shared" si="100"/>
        <v>0</v>
      </c>
      <c r="BF132" s="278">
        <f t="shared" si="101"/>
        <v>0</v>
      </c>
      <c r="BG132" s="278">
        <f t="shared" si="102"/>
        <v>0</v>
      </c>
      <c r="BH132" s="293">
        <f t="shared" si="69"/>
        <v>-0.67321929677656478</v>
      </c>
      <c r="BI132" s="293">
        <f t="shared" si="70"/>
        <v>-1.715623369204794</v>
      </c>
      <c r="BJ132" s="293">
        <f t="shared" si="71"/>
        <v>-1.1553311802746209</v>
      </c>
      <c r="BK132" s="278">
        <f t="shared" si="72"/>
        <v>0</v>
      </c>
      <c r="BL132" s="278">
        <f t="shared" si="73"/>
        <v>0</v>
      </c>
      <c r="BM132" s="278">
        <f t="shared" si="74"/>
        <v>0</v>
      </c>
      <c r="BN132" s="293">
        <f t="shared" si="75"/>
        <v>0</v>
      </c>
      <c r="BO132" s="293">
        <f t="shared" si="76"/>
        <v>0</v>
      </c>
      <c r="BP132" s="293">
        <f t="shared" si="77"/>
        <v>0</v>
      </c>
      <c r="BQ132" s="278">
        <f t="shared" si="78"/>
        <v>0</v>
      </c>
      <c r="BR132" s="223"/>
      <c r="BS132" s="1091">
        <f>IFERROR(VLOOKUP('C-sidumine'!Z43,'C-taust'!$C$95:$E$96, 3,FALSE)*$E$85,0)</f>
        <v>0.95</v>
      </c>
      <c r="BT132" s="305">
        <f t="shared" si="31"/>
        <v>3.9677400000000005</v>
      </c>
      <c r="BU132" s="293">
        <f t="shared" si="32"/>
        <v>52.714260000000003</v>
      </c>
      <c r="BV132" s="278">
        <f t="shared" si="103"/>
        <v>0</v>
      </c>
      <c r="BW132" s="278">
        <f t="shared" si="104"/>
        <v>0</v>
      </c>
      <c r="BX132" s="278">
        <f t="shared" si="105"/>
        <v>0</v>
      </c>
      <c r="BY132" s="293">
        <f t="shared" si="79"/>
        <v>-0.58813952668442093</v>
      </c>
      <c r="BZ132" s="293">
        <f t="shared" si="80"/>
        <v>-1.4988071809054597</v>
      </c>
      <c r="CA132" s="293">
        <f t="shared" si="81"/>
        <v>-1.0093233167616513</v>
      </c>
      <c r="CB132" s="278">
        <f t="shared" si="82"/>
        <v>0</v>
      </c>
      <c r="CC132" s="278">
        <f t="shared" si="83"/>
        <v>0</v>
      </c>
      <c r="CD132" s="278">
        <f t="shared" si="84"/>
        <v>0</v>
      </c>
      <c r="CE132" s="293">
        <f t="shared" si="85"/>
        <v>0</v>
      </c>
      <c r="CF132" s="293">
        <f t="shared" si="86"/>
        <v>0</v>
      </c>
      <c r="CG132" s="293">
        <f t="shared" si="87"/>
        <v>0</v>
      </c>
      <c r="CH132" s="278">
        <f t="shared" si="88"/>
        <v>0</v>
      </c>
      <c r="CI132" s="223"/>
      <c r="CJ132" s="1092"/>
    </row>
    <row r="133" spans="2:88" ht="17.5">
      <c r="B133" s="223">
        <f>IFERROR(VLOOKUP('C-sidumine'!Z44,'C-taust'!$C$95:$E$96, 3,FALSE)*$E$81,0)</f>
        <v>0.75</v>
      </c>
      <c r="C133" s="223">
        <f>'C-sidumine'!D44</f>
        <v>0</v>
      </c>
      <c r="D133" s="1097">
        <f t="shared" si="16"/>
        <v>4.6020519999999996</v>
      </c>
      <c r="E133" s="223">
        <f t="shared" si="17"/>
        <v>61.141547999999993</v>
      </c>
      <c r="F133" s="278">
        <f>'C-taust'!AB51</f>
        <v>0</v>
      </c>
      <c r="G133" s="278">
        <f t="shared" si="90"/>
        <v>0</v>
      </c>
      <c r="H133" s="278">
        <f t="shared" si="91"/>
        <v>0</v>
      </c>
      <c r="I133" s="293">
        <f t="shared" si="92"/>
        <v>-0.53855038617842876</v>
      </c>
      <c r="J133" s="293">
        <f t="shared" si="39"/>
        <v>-1.3724348550998668</v>
      </c>
      <c r="K133" s="293">
        <f t="shared" si="93"/>
        <v>-0.92422195305459387</v>
      </c>
      <c r="L133" s="278">
        <f t="shared" si="41"/>
        <v>0</v>
      </c>
      <c r="M133" s="278">
        <f t="shared" si="42"/>
        <v>0</v>
      </c>
      <c r="N133" s="278">
        <f t="shared" si="43"/>
        <v>0</v>
      </c>
      <c r="O133" s="293">
        <f t="shared" si="44"/>
        <v>0</v>
      </c>
      <c r="P133" s="293">
        <f t="shared" si="45"/>
        <v>0</v>
      </c>
      <c r="Q133" s="293">
        <f t="shared" si="46"/>
        <v>0</v>
      </c>
      <c r="R133" s="1104">
        <f t="shared" si="47"/>
        <v>0</v>
      </c>
      <c r="S133" s="223"/>
      <c r="T133" s="223">
        <f>IFERROR(VLOOKUP('C-sidumine'!Z44,'C-taust'!$C$95:$E$96, 3,FALSE)*$E$82,0)</f>
        <v>0.96</v>
      </c>
      <c r="U133" s="305">
        <f t="shared" si="18"/>
        <v>4.6020519999999996</v>
      </c>
      <c r="V133" s="293">
        <f t="shared" si="19"/>
        <v>61.141547999999993</v>
      </c>
      <c r="W133" s="278">
        <f t="shared" si="94"/>
        <v>0</v>
      </c>
      <c r="X133" s="278">
        <f t="shared" si="95"/>
        <v>0</v>
      </c>
      <c r="Y133" s="278">
        <f t="shared" si="96"/>
        <v>0</v>
      </c>
      <c r="Z133" s="293">
        <f t="shared" si="48"/>
        <v>-0.68934449430838873</v>
      </c>
      <c r="AA133" s="293">
        <f t="shared" si="49"/>
        <v>-1.7567166145278295</v>
      </c>
      <c r="AB133" s="293">
        <f t="shared" si="89"/>
        <v>-1.1830040999098801</v>
      </c>
      <c r="AC133" s="278">
        <f t="shared" si="50"/>
        <v>0</v>
      </c>
      <c r="AD133" s="278">
        <f t="shared" si="51"/>
        <v>0</v>
      </c>
      <c r="AE133" s="278">
        <f t="shared" si="52"/>
        <v>0</v>
      </c>
      <c r="AF133" s="293">
        <f t="shared" si="53"/>
        <v>0</v>
      </c>
      <c r="AG133" s="293">
        <f t="shared" si="54"/>
        <v>0</v>
      </c>
      <c r="AH133" s="293">
        <f t="shared" si="55"/>
        <v>0</v>
      </c>
      <c r="AI133" s="1104">
        <f t="shared" si="56"/>
        <v>0</v>
      </c>
      <c r="AJ133" s="223"/>
      <c r="AK133" s="223">
        <f>IFERROR(VLOOKUP('C-sidumine'!Z44,'C-taust'!$C$95:$E$96, 3,FALSE)*$E$83,0)</f>
        <v>1</v>
      </c>
      <c r="AL133" s="305">
        <f t="shared" si="57"/>
        <v>4.5655329999999994</v>
      </c>
      <c r="AM133" s="293">
        <f t="shared" si="58"/>
        <v>60.656366999999996</v>
      </c>
      <c r="AN133" s="278">
        <f t="shared" si="97"/>
        <v>0</v>
      </c>
      <c r="AO133" s="278">
        <f t="shared" si="98"/>
        <v>0</v>
      </c>
      <c r="AP133" s="278">
        <f t="shared" si="99"/>
        <v>0</v>
      </c>
      <c r="AQ133" s="293">
        <f t="shared" si="59"/>
        <v>-0.71236905051930755</v>
      </c>
      <c r="AR133" s="293">
        <f t="shared" si="60"/>
        <v>-1.815392096484687</v>
      </c>
      <c r="AS133" s="293">
        <f t="shared" si="61"/>
        <v>-1.2225172092782954</v>
      </c>
      <c r="AT133" s="278">
        <f t="shared" si="62"/>
        <v>0</v>
      </c>
      <c r="AU133" s="278">
        <f t="shared" si="63"/>
        <v>0</v>
      </c>
      <c r="AV133" s="278">
        <f t="shared" si="64"/>
        <v>0</v>
      </c>
      <c r="AW133" s="293">
        <f t="shared" si="65"/>
        <v>0</v>
      </c>
      <c r="AX133" s="293">
        <f t="shared" si="66"/>
        <v>0</v>
      </c>
      <c r="AY133" s="293">
        <f t="shared" si="67"/>
        <v>0</v>
      </c>
      <c r="AZ133" s="1104">
        <f t="shared" si="68"/>
        <v>0</v>
      </c>
      <c r="BA133" s="223"/>
      <c r="BB133" s="223">
        <f>IFERROR(VLOOKUP('C-sidumine'!Z44,'C-taust'!$C$95:$E$96, 3,FALSE)*$E$84,0)</f>
        <v>0.98</v>
      </c>
      <c r="BC133" s="305">
        <f t="shared" si="26"/>
        <v>4.4026780000000008</v>
      </c>
      <c r="BD133" s="293">
        <f t="shared" si="27"/>
        <v>58.492722000000008</v>
      </c>
      <c r="BE133" s="278">
        <f t="shared" si="100"/>
        <v>0</v>
      </c>
      <c r="BF133" s="278">
        <f t="shared" si="101"/>
        <v>0</v>
      </c>
      <c r="BG133" s="278">
        <f t="shared" si="102"/>
        <v>0</v>
      </c>
      <c r="BH133" s="293">
        <f t="shared" si="69"/>
        <v>-0.67321929677656478</v>
      </c>
      <c r="BI133" s="293">
        <f t="shared" si="70"/>
        <v>-1.715623369204794</v>
      </c>
      <c r="BJ133" s="293">
        <f t="shared" si="71"/>
        <v>-1.1553311802746209</v>
      </c>
      <c r="BK133" s="278">
        <f t="shared" si="72"/>
        <v>0</v>
      </c>
      <c r="BL133" s="278">
        <f t="shared" si="73"/>
        <v>0</v>
      </c>
      <c r="BM133" s="278">
        <f t="shared" si="74"/>
        <v>0</v>
      </c>
      <c r="BN133" s="293">
        <f t="shared" si="75"/>
        <v>0</v>
      </c>
      <c r="BO133" s="293">
        <f t="shared" si="76"/>
        <v>0</v>
      </c>
      <c r="BP133" s="293">
        <f t="shared" si="77"/>
        <v>0</v>
      </c>
      <c r="BQ133" s="278">
        <f t="shared" si="78"/>
        <v>0</v>
      </c>
      <c r="BR133" s="223"/>
      <c r="BS133" s="1091">
        <f>IFERROR(VLOOKUP('C-sidumine'!Z44,'C-taust'!$C$95:$E$96, 3,FALSE)*$E$85,0)</f>
        <v>0.95</v>
      </c>
      <c r="BT133" s="305">
        <f t="shared" si="31"/>
        <v>3.9677400000000005</v>
      </c>
      <c r="BU133" s="293">
        <f t="shared" si="32"/>
        <v>52.714260000000003</v>
      </c>
      <c r="BV133" s="278">
        <f t="shared" si="103"/>
        <v>0</v>
      </c>
      <c r="BW133" s="278">
        <f t="shared" si="104"/>
        <v>0</v>
      </c>
      <c r="BX133" s="278">
        <f t="shared" si="105"/>
        <v>0</v>
      </c>
      <c r="BY133" s="293">
        <f t="shared" si="79"/>
        <v>-0.58813952668442093</v>
      </c>
      <c r="BZ133" s="293">
        <f t="shared" si="80"/>
        <v>-1.4988071809054597</v>
      </c>
      <c r="CA133" s="293">
        <f t="shared" si="81"/>
        <v>-1.0093233167616513</v>
      </c>
      <c r="CB133" s="278">
        <f t="shared" si="82"/>
        <v>0</v>
      </c>
      <c r="CC133" s="278">
        <f t="shared" si="83"/>
        <v>0</v>
      </c>
      <c r="CD133" s="278">
        <f t="shared" si="84"/>
        <v>0</v>
      </c>
      <c r="CE133" s="293">
        <f t="shared" si="85"/>
        <v>0</v>
      </c>
      <c r="CF133" s="293">
        <f t="shared" si="86"/>
        <v>0</v>
      </c>
      <c r="CG133" s="293">
        <f t="shared" si="87"/>
        <v>0</v>
      </c>
      <c r="CH133" s="278">
        <f t="shared" si="88"/>
        <v>0</v>
      </c>
      <c r="CI133" s="223"/>
      <c r="CJ133" s="1092"/>
    </row>
    <row r="134" spans="2:88" ht="17.5">
      <c r="B134" s="223">
        <f>IFERROR(VLOOKUP('C-sidumine'!Z45,'C-taust'!$C$95:$E$96, 3,FALSE)*$E$81,0)</f>
        <v>0.75</v>
      </c>
      <c r="C134" s="223">
        <f>'C-sidumine'!D45</f>
        <v>0</v>
      </c>
      <c r="D134" s="1097">
        <f t="shared" si="16"/>
        <v>4.6020519999999996</v>
      </c>
      <c r="E134" s="223">
        <f t="shared" si="17"/>
        <v>61.141547999999993</v>
      </c>
      <c r="F134" s="278">
        <f>'C-taust'!AB52</f>
        <v>0</v>
      </c>
      <c r="G134" s="278">
        <f t="shared" si="90"/>
        <v>0</v>
      </c>
      <c r="H134" s="278">
        <f t="shared" si="91"/>
        <v>0</v>
      </c>
      <c r="I134" s="293">
        <f t="shared" si="92"/>
        <v>-0.53855038617842876</v>
      </c>
      <c r="J134" s="293">
        <f t="shared" si="39"/>
        <v>-1.3724348550998668</v>
      </c>
      <c r="K134" s="293">
        <f t="shared" si="93"/>
        <v>-0.92422195305459387</v>
      </c>
      <c r="L134" s="278">
        <f t="shared" si="41"/>
        <v>0</v>
      </c>
      <c r="M134" s="278">
        <f t="shared" si="42"/>
        <v>0</v>
      </c>
      <c r="N134" s="278">
        <f t="shared" si="43"/>
        <v>0</v>
      </c>
      <c r="O134" s="293">
        <f t="shared" si="44"/>
        <v>0</v>
      </c>
      <c r="P134" s="293">
        <f t="shared" si="45"/>
        <v>0</v>
      </c>
      <c r="Q134" s="293">
        <f t="shared" si="46"/>
        <v>0</v>
      </c>
      <c r="R134" s="1104">
        <f t="shared" si="47"/>
        <v>0</v>
      </c>
      <c r="S134" s="223"/>
      <c r="T134" s="223">
        <f>IFERROR(VLOOKUP('C-sidumine'!Z45,'C-taust'!$C$95:$E$96, 3,FALSE)*$E$82,0)</f>
        <v>0.96</v>
      </c>
      <c r="U134" s="305">
        <f t="shared" si="18"/>
        <v>4.6020519999999996</v>
      </c>
      <c r="V134" s="293">
        <f t="shared" si="19"/>
        <v>61.141547999999993</v>
      </c>
      <c r="W134" s="278">
        <f t="shared" si="94"/>
        <v>0</v>
      </c>
      <c r="X134" s="278">
        <f t="shared" si="95"/>
        <v>0</v>
      </c>
      <c r="Y134" s="278">
        <f t="shared" si="96"/>
        <v>0</v>
      </c>
      <c r="Z134" s="293">
        <f t="shared" si="48"/>
        <v>-0.68934449430838873</v>
      </c>
      <c r="AA134" s="293">
        <f t="shared" si="49"/>
        <v>-1.7567166145278295</v>
      </c>
      <c r="AB134" s="293">
        <f t="shared" si="89"/>
        <v>-1.1830040999098801</v>
      </c>
      <c r="AC134" s="278">
        <f t="shared" si="50"/>
        <v>0</v>
      </c>
      <c r="AD134" s="278">
        <f t="shared" si="51"/>
        <v>0</v>
      </c>
      <c r="AE134" s="278">
        <f t="shared" si="52"/>
        <v>0</v>
      </c>
      <c r="AF134" s="293">
        <f t="shared" si="53"/>
        <v>0</v>
      </c>
      <c r="AG134" s="293">
        <f t="shared" si="54"/>
        <v>0</v>
      </c>
      <c r="AH134" s="293">
        <f t="shared" si="55"/>
        <v>0</v>
      </c>
      <c r="AI134" s="1104">
        <f t="shared" si="56"/>
        <v>0</v>
      </c>
      <c r="AJ134" s="223"/>
      <c r="AK134" s="223">
        <f>IFERROR(VLOOKUP('C-sidumine'!Z45,'C-taust'!$C$95:$E$96, 3,FALSE)*$E$83,0)</f>
        <v>1</v>
      </c>
      <c r="AL134" s="305">
        <f t="shared" si="57"/>
        <v>4.5655329999999994</v>
      </c>
      <c r="AM134" s="293">
        <f t="shared" si="58"/>
        <v>60.656366999999996</v>
      </c>
      <c r="AN134" s="278">
        <f t="shared" si="97"/>
        <v>0</v>
      </c>
      <c r="AO134" s="278">
        <f t="shared" si="98"/>
        <v>0</v>
      </c>
      <c r="AP134" s="278">
        <f t="shared" si="99"/>
        <v>0</v>
      </c>
      <c r="AQ134" s="293">
        <f t="shared" si="59"/>
        <v>-0.71236905051930755</v>
      </c>
      <c r="AR134" s="293">
        <f t="shared" si="60"/>
        <v>-1.815392096484687</v>
      </c>
      <c r="AS134" s="293">
        <f t="shared" si="61"/>
        <v>-1.2225172092782954</v>
      </c>
      <c r="AT134" s="278">
        <f t="shared" si="62"/>
        <v>0</v>
      </c>
      <c r="AU134" s="278">
        <f t="shared" si="63"/>
        <v>0</v>
      </c>
      <c r="AV134" s="278">
        <f t="shared" si="64"/>
        <v>0</v>
      </c>
      <c r="AW134" s="293">
        <f t="shared" si="65"/>
        <v>0</v>
      </c>
      <c r="AX134" s="293">
        <f t="shared" si="66"/>
        <v>0</v>
      </c>
      <c r="AY134" s="293">
        <f t="shared" si="67"/>
        <v>0</v>
      </c>
      <c r="AZ134" s="1104">
        <f t="shared" si="68"/>
        <v>0</v>
      </c>
      <c r="BA134" s="223"/>
      <c r="BB134" s="223">
        <f>IFERROR(VLOOKUP('C-sidumine'!Z45,'C-taust'!$C$95:$E$96, 3,FALSE)*$E$84,0)</f>
        <v>0.98</v>
      </c>
      <c r="BC134" s="305">
        <f t="shared" si="26"/>
        <v>4.4026780000000008</v>
      </c>
      <c r="BD134" s="293">
        <f t="shared" si="27"/>
        <v>58.492722000000008</v>
      </c>
      <c r="BE134" s="278">
        <f t="shared" si="100"/>
        <v>0</v>
      </c>
      <c r="BF134" s="278">
        <f t="shared" si="101"/>
        <v>0</v>
      </c>
      <c r="BG134" s="278">
        <f t="shared" si="102"/>
        <v>0</v>
      </c>
      <c r="BH134" s="293">
        <f t="shared" si="69"/>
        <v>-0.67321929677656478</v>
      </c>
      <c r="BI134" s="293">
        <f t="shared" si="70"/>
        <v>-1.715623369204794</v>
      </c>
      <c r="BJ134" s="293">
        <f t="shared" si="71"/>
        <v>-1.1553311802746209</v>
      </c>
      <c r="BK134" s="278">
        <f t="shared" si="72"/>
        <v>0</v>
      </c>
      <c r="BL134" s="278">
        <f t="shared" si="73"/>
        <v>0</v>
      </c>
      <c r="BM134" s="278">
        <f t="shared" si="74"/>
        <v>0</v>
      </c>
      <c r="BN134" s="293">
        <f t="shared" si="75"/>
        <v>0</v>
      </c>
      <c r="BO134" s="293">
        <f t="shared" si="76"/>
        <v>0</v>
      </c>
      <c r="BP134" s="293">
        <f t="shared" si="77"/>
        <v>0</v>
      </c>
      <c r="BQ134" s="278">
        <f t="shared" si="78"/>
        <v>0</v>
      </c>
      <c r="BR134" s="223"/>
      <c r="BS134" s="1091">
        <f>IFERROR(VLOOKUP('C-sidumine'!Z45,'C-taust'!$C$95:$E$96, 3,FALSE)*$E$85,0)</f>
        <v>0.95</v>
      </c>
      <c r="BT134" s="305">
        <f t="shared" si="31"/>
        <v>3.9677400000000005</v>
      </c>
      <c r="BU134" s="293">
        <f t="shared" si="32"/>
        <v>52.714260000000003</v>
      </c>
      <c r="BV134" s="278">
        <f t="shared" si="103"/>
        <v>0</v>
      </c>
      <c r="BW134" s="278">
        <f t="shared" si="104"/>
        <v>0</v>
      </c>
      <c r="BX134" s="278">
        <f t="shared" si="105"/>
        <v>0</v>
      </c>
      <c r="BY134" s="293">
        <f t="shared" si="79"/>
        <v>-0.58813952668442093</v>
      </c>
      <c r="BZ134" s="293">
        <f t="shared" si="80"/>
        <v>-1.4988071809054597</v>
      </c>
      <c r="CA134" s="293">
        <f t="shared" si="81"/>
        <v>-1.0093233167616513</v>
      </c>
      <c r="CB134" s="278">
        <f t="shared" si="82"/>
        <v>0</v>
      </c>
      <c r="CC134" s="278">
        <f t="shared" si="83"/>
        <v>0</v>
      </c>
      <c r="CD134" s="278">
        <f t="shared" si="84"/>
        <v>0</v>
      </c>
      <c r="CE134" s="293">
        <f t="shared" si="85"/>
        <v>0</v>
      </c>
      <c r="CF134" s="293">
        <f t="shared" si="86"/>
        <v>0</v>
      </c>
      <c r="CG134" s="293">
        <f t="shared" si="87"/>
        <v>0</v>
      </c>
      <c r="CH134" s="278">
        <f t="shared" si="88"/>
        <v>0</v>
      </c>
      <c r="CI134" s="223"/>
      <c r="CJ134" s="1092"/>
    </row>
    <row r="135" spans="2:88" ht="17.5">
      <c r="B135" s="223">
        <f>IFERROR(VLOOKUP('C-sidumine'!Z46,'C-taust'!$C$95:$E$96, 3,FALSE)*$E$81,0)</f>
        <v>0.75</v>
      </c>
      <c r="C135" s="223">
        <f>'C-sidumine'!D46</f>
        <v>0</v>
      </c>
      <c r="D135" s="1097">
        <f t="shared" si="16"/>
        <v>4.6020519999999996</v>
      </c>
      <c r="E135" s="223">
        <f t="shared" si="17"/>
        <v>61.141547999999993</v>
      </c>
      <c r="F135" s="278">
        <f>'C-taust'!AB53</f>
        <v>0</v>
      </c>
      <c r="G135" s="278">
        <f t="shared" si="90"/>
        <v>0</v>
      </c>
      <c r="H135" s="278">
        <f t="shared" si="91"/>
        <v>0</v>
      </c>
      <c r="I135" s="293">
        <f t="shared" si="92"/>
        <v>-0.53855038617842876</v>
      </c>
      <c r="J135" s="293">
        <f t="shared" si="39"/>
        <v>-1.3724348550998668</v>
      </c>
      <c r="K135" s="293">
        <f t="shared" si="93"/>
        <v>-0.92422195305459387</v>
      </c>
      <c r="L135" s="278">
        <f t="shared" si="41"/>
        <v>0</v>
      </c>
      <c r="M135" s="278">
        <f t="shared" si="42"/>
        <v>0</v>
      </c>
      <c r="N135" s="278">
        <f t="shared" si="43"/>
        <v>0</v>
      </c>
      <c r="O135" s="293">
        <f t="shared" si="44"/>
        <v>0</v>
      </c>
      <c r="P135" s="293">
        <f t="shared" si="45"/>
        <v>0</v>
      </c>
      <c r="Q135" s="293">
        <f t="shared" si="46"/>
        <v>0</v>
      </c>
      <c r="R135" s="1104">
        <f t="shared" si="47"/>
        <v>0</v>
      </c>
      <c r="S135" s="223"/>
      <c r="T135" s="223">
        <f>IFERROR(VLOOKUP('C-sidumine'!Z46,'C-taust'!$C$95:$E$96, 3,FALSE)*$E$82,0)</f>
        <v>0.96</v>
      </c>
      <c r="U135" s="305">
        <f t="shared" si="18"/>
        <v>4.6020519999999996</v>
      </c>
      <c r="V135" s="293">
        <f t="shared" si="19"/>
        <v>61.141547999999993</v>
      </c>
      <c r="W135" s="278">
        <f t="shared" si="94"/>
        <v>0</v>
      </c>
      <c r="X135" s="278">
        <f t="shared" si="95"/>
        <v>0</v>
      </c>
      <c r="Y135" s="278">
        <f t="shared" si="96"/>
        <v>0</v>
      </c>
      <c r="Z135" s="293">
        <f t="shared" si="48"/>
        <v>-0.68934449430838873</v>
      </c>
      <c r="AA135" s="293">
        <f t="shared" si="49"/>
        <v>-1.7567166145278295</v>
      </c>
      <c r="AB135" s="293">
        <f t="shared" si="89"/>
        <v>-1.1830040999098801</v>
      </c>
      <c r="AC135" s="278">
        <f t="shared" si="50"/>
        <v>0</v>
      </c>
      <c r="AD135" s="278">
        <f t="shared" si="51"/>
        <v>0</v>
      </c>
      <c r="AE135" s="278">
        <f t="shared" si="52"/>
        <v>0</v>
      </c>
      <c r="AF135" s="293">
        <f t="shared" si="53"/>
        <v>0</v>
      </c>
      <c r="AG135" s="293">
        <f t="shared" si="54"/>
        <v>0</v>
      </c>
      <c r="AH135" s="293">
        <f t="shared" si="55"/>
        <v>0</v>
      </c>
      <c r="AI135" s="1104">
        <f t="shared" si="56"/>
        <v>0</v>
      </c>
      <c r="AJ135" s="223"/>
      <c r="AK135" s="223">
        <f>IFERROR(VLOOKUP('C-sidumine'!Z46,'C-taust'!$C$95:$E$96, 3,FALSE)*$E$83,0)</f>
        <v>1</v>
      </c>
      <c r="AL135" s="305">
        <f t="shared" si="57"/>
        <v>4.5655329999999994</v>
      </c>
      <c r="AM135" s="293">
        <f t="shared" si="58"/>
        <v>60.656366999999996</v>
      </c>
      <c r="AN135" s="278">
        <f t="shared" si="97"/>
        <v>0</v>
      </c>
      <c r="AO135" s="278">
        <f t="shared" si="98"/>
        <v>0</v>
      </c>
      <c r="AP135" s="278">
        <f t="shared" si="99"/>
        <v>0</v>
      </c>
      <c r="AQ135" s="293">
        <f t="shared" si="59"/>
        <v>-0.71236905051930755</v>
      </c>
      <c r="AR135" s="293">
        <f t="shared" si="60"/>
        <v>-1.815392096484687</v>
      </c>
      <c r="AS135" s="293">
        <f t="shared" si="61"/>
        <v>-1.2225172092782954</v>
      </c>
      <c r="AT135" s="278">
        <f t="shared" si="62"/>
        <v>0</v>
      </c>
      <c r="AU135" s="278">
        <f t="shared" si="63"/>
        <v>0</v>
      </c>
      <c r="AV135" s="278">
        <f t="shared" si="64"/>
        <v>0</v>
      </c>
      <c r="AW135" s="293">
        <f t="shared" si="65"/>
        <v>0</v>
      </c>
      <c r="AX135" s="293">
        <f t="shared" si="66"/>
        <v>0</v>
      </c>
      <c r="AY135" s="293">
        <f t="shared" si="67"/>
        <v>0</v>
      </c>
      <c r="AZ135" s="1104">
        <f t="shared" si="68"/>
        <v>0</v>
      </c>
      <c r="BA135" s="223"/>
      <c r="BB135" s="223">
        <f>IFERROR(VLOOKUP('C-sidumine'!Z46,'C-taust'!$C$95:$E$96, 3,FALSE)*$E$84,0)</f>
        <v>0.98</v>
      </c>
      <c r="BC135" s="305">
        <f t="shared" si="26"/>
        <v>4.4026780000000008</v>
      </c>
      <c r="BD135" s="293">
        <f t="shared" si="27"/>
        <v>58.492722000000008</v>
      </c>
      <c r="BE135" s="278">
        <f t="shared" si="100"/>
        <v>0</v>
      </c>
      <c r="BF135" s="278">
        <f t="shared" si="101"/>
        <v>0</v>
      </c>
      <c r="BG135" s="278">
        <f t="shared" si="102"/>
        <v>0</v>
      </c>
      <c r="BH135" s="293">
        <f t="shared" si="69"/>
        <v>-0.67321929677656478</v>
      </c>
      <c r="BI135" s="293">
        <f t="shared" si="70"/>
        <v>-1.715623369204794</v>
      </c>
      <c r="BJ135" s="293">
        <f t="shared" si="71"/>
        <v>-1.1553311802746209</v>
      </c>
      <c r="BK135" s="278">
        <f t="shared" si="72"/>
        <v>0</v>
      </c>
      <c r="BL135" s="278">
        <f t="shared" si="73"/>
        <v>0</v>
      </c>
      <c r="BM135" s="278">
        <f t="shared" si="74"/>
        <v>0</v>
      </c>
      <c r="BN135" s="293">
        <f t="shared" si="75"/>
        <v>0</v>
      </c>
      <c r="BO135" s="293">
        <f t="shared" si="76"/>
        <v>0</v>
      </c>
      <c r="BP135" s="293">
        <f t="shared" si="77"/>
        <v>0</v>
      </c>
      <c r="BQ135" s="278">
        <f t="shared" si="78"/>
        <v>0</v>
      </c>
      <c r="BR135" s="223"/>
      <c r="BS135" s="1091">
        <f>IFERROR(VLOOKUP('C-sidumine'!Z46,'C-taust'!$C$95:$E$96, 3,FALSE)*$E$85,0)</f>
        <v>0.95</v>
      </c>
      <c r="BT135" s="305">
        <f t="shared" si="31"/>
        <v>3.9677400000000005</v>
      </c>
      <c r="BU135" s="293">
        <f t="shared" si="32"/>
        <v>52.714260000000003</v>
      </c>
      <c r="BV135" s="278">
        <f t="shared" si="103"/>
        <v>0</v>
      </c>
      <c r="BW135" s="278">
        <f t="shared" si="104"/>
        <v>0</v>
      </c>
      <c r="BX135" s="278">
        <f t="shared" si="105"/>
        <v>0</v>
      </c>
      <c r="BY135" s="293">
        <f t="shared" si="79"/>
        <v>-0.58813952668442093</v>
      </c>
      <c r="BZ135" s="293">
        <f t="shared" si="80"/>
        <v>-1.4988071809054597</v>
      </c>
      <c r="CA135" s="293">
        <f t="shared" si="81"/>
        <v>-1.0093233167616513</v>
      </c>
      <c r="CB135" s="278">
        <f t="shared" si="82"/>
        <v>0</v>
      </c>
      <c r="CC135" s="278">
        <f t="shared" si="83"/>
        <v>0</v>
      </c>
      <c r="CD135" s="278">
        <f t="shared" si="84"/>
        <v>0</v>
      </c>
      <c r="CE135" s="293">
        <f t="shared" si="85"/>
        <v>0</v>
      </c>
      <c r="CF135" s="293">
        <f t="shared" si="86"/>
        <v>0</v>
      </c>
      <c r="CG135" s="293">
        <f t="shared" si="87"/>
        <v>0</v>
      </c>
      <c r="CH135" s="278">
        <f t="shared" si="88"/>
        <v>0</v>
      </c>
      <c r="CI135" s="223"/>
      <c r="CJ135" s="1092"/>
    </row>
    <row r="136" spans="2:88" ht="17.5">
      <c r="B136" s="223">
        <f>IFERROR(VLOOKUP('C-sidumine'!Z47,'C-taust'!$C$95:$E$96, 3,FALSE)*$E$81,0)</f>
        <v>0.75</v>
      </c>
      <c r="C136" s="223">
        <f>'C-sidumine'!D47</f>
        <v>0</v>
      </c>
      <c r="D136" s="1097">
        <f t="shared" si="16"/>
        <v>4.6020519999999996</v>
      </c>
      <c r="E136" s="223">
        <f t="shared" si="17"/>
        <v>61.141547999999993</v>
      </c>
      <c r="F136" s="278">
        <f>'C-taust'!AB54</f>
        <v>0</v>
      </c>
      <c r="G136" s="278">
        <f t="shared" si="90"/>
        <v>0</v>
      </c>
      <c r="H136" s="278">
        <f t="shared" si="91"/>
        <v>0</v>
      </c>
      <c r="I136" s="293">
        <f t="shared" si="92"/>
        <v>-0.53855038617842876</v>
      </c>
      <c r="J136" s="293">
        <f t="shared" si="39"/>
        <v>-1.3724348550998668</v>
      </c>
      <c r="K136" s="293">
        <f t="shared" si="93"/>
        <v>-0.92422195305459387</v>
      </c>
      <c r="L136" s="278">
        <f t="shared" si="41"/>
        <v>0</v>
      </c>
      <c r="M136" s="278">
        <f t="shared" si="42"/>
        <v>0</v>
      </c>
      <c r="N136" s="278">
        <f t="shared" si="43"/>
        <v>0</v>
      </c>
      <c r="O136" s="293">
        <f t="shared" si="44"/>
        <v>0</v>
      </c>
      <c r="P136" s="293">
        <f t="shared" si="45"/>
        <v>0</v>
      </c>
      <c r="Q136" s="293">
        <f t="shared" si="46"/>
        <v>0</v>
      </c>
      <c r="R136" s="1104">
        <f t="shared" si="47"/>
        <v>0</v>
      </c>
      <c r="S136" s="223"/>
      <c r="T136" s="223">
        <f>IFERROR(VLOOKUP('C-sidumine'!Z47,'C-taust'!$C$95:$E$96, 3,FALSE)*$E$82,0)</f>
        <v>0.96</v>
      </c>
      <c r="U136" s="305">
        <f t="shared" si="18"/>
        <v>4.6020519999999996</v>
      </c>
      <c r="V136" s="293">
        <f t="shared" si="19"/>
        <v>61.141547999999993</v>
      </c>
      <c r="W136" s="278">
        <f t="shared" si="94"/>
        <v>0</v>
      </c>
      <c r="X136" s="278">
        <f t="shared" si="95"/>
        <v>0</v>
      </c>
      <c r="Y136" s="278">
        <f t="shared" si="96"/>
        <v>0</v>
      </c>
      <c r="Z136" s="293">
        <f t="shared" si="48"/>
        <v>-0.68934449430838873</v>
      </c>
      <c r="AA136" s="293">
        <f t="shared" si="49"/>
        <v>-1.7567166145278295</v>
      </c>
      <c r="AB136" s="293">
        <f t="shared" si="89"/>
        <v>-1.1830040999098801</v>
      </c>
      <c r="AC136" s="278">
        <f t="shared" si="50"/>
        <v>0</v>
      </c>
      <c r="AD136" s="278">
        <f t="shared" si="51"/>
        <v>0</v>
      </c>
      <c r="AE136" s="278">
        <f t="shared" si="52"/>
        <v>0</v>
      </c>
      <c r="AF136" s="293">
        <f t="shared" si="53"/>
        <v>0</v>
      </c>
      <c r="AG136" s="293">
        <f t="shared" si="54"/>
        <v>0</v>
      </c>
      <c r="AH136" s="293">
        <f t="shared" si="55"/>
        <v>0</v>
      </c>
      <c r="AI136" s="1104">
        <f t="shared" si="56"/>
        <v>0</v>
      </c>
      <c r="AJ136" s="223"/>
      <c r="AK136" s="223">
        <f>IFERROR(VLOOKUP('C-sidumine'!Z47,'C-taust'!$C$95:$E$96, 3,FALSE)*$E$83,0)</f>
        <v>1</v>
      </c>
      <c r="AL136" s="305">
        <f t="shared" si="57"/>
        <v>4.5655329999999994</v>
      </c>
      <c r="AM136" s="293">
        <f t="shared" si="58"/>
        <v>60.656366999999996</v>
      </c>
      <c r="AN136" s="278">
        <f t="shared" si="97"/>
        <v>0</v>
      </c>
      <c r="AO136" s="278">
        <f t="shared" si="98"/>
        <v>0</v>
      </c>
      <c r="AP136" s="278">
        <f t="shared" si="99"/>
        <v>0</v>
      </c>
      <c r="AQ136" s="293">
        <f t="shared" si="59"/>
        <v>-0.71236905051930755</v>
      </c>
      <c r="AR136" s="293">
        <f t="shared" si="60"/>
        <v>-1.815392096484687</v>
      </c>
      <c r="AS136" s="293">
        <f t="shared" si="61"/>
        <v>-1.2225172092782954</v>
      </c>
      <c r="AT136" s="278">
        <f t="shared" si="62"/>
        <v>0</v>
      </c>
      <c r="AU136" s="278">
        <f t="shared" si="63"/>
        <v>0</v>
      </c>
      <c r="AV136" s="278">
        <f t="shared" si="64"/>
        <v>0</v>
      </c>
      <c r="AW136" s="293">
        <f t="shared" si="65"/>
        <v>0</v>
      </c>
      <c r="AX136" s="293">
        <f t="shared" si="66"/>
        <v>0</v>
      </c>
      <c r="AY136" s="293">
        <f t="shared" si="67"/>
        <v>0</v>
      </c>
      <c r="AZ136" s="1104">
        <f t="shared" si="68"/>
        <v>0</v>
      </c>
      <c r="BA136" s="223"/>
      <c r="BB136" s="223">
        <f>IFERROR(VLOOKUP('C-sidumine'!Z47,'C-taust'!$C$95:$E$96, 3,FALSE)*$E$84,0)</f>
        <v>0.98</v>
      </c>
      <c r="BC136" s="305">
        <f t="shared" si="26"/>
        <v>4.4026780000000008</v>
      </c>
      <c r="BD136" s="293">
        <f t="shared" si="27"/>
        <v>58.492722000000008</v>
      </c>
      <c r="BE136" s="278">
        <f t="shared" si="100"/>
        <v>0</v>
      </c>
      <c r="BF136" s="278">
        <f t="shared" si="101"/>
        <v>0</v>
      </c>
      <c r="BG136" s="278">
        <f t="shared" si="102"/>
        <v>0</v>
      </c>
      <c r="BH136" s="293">
        <f t="shared" si="69"/>
        <v>-0.67321929677656478</v>
      </c>
      <c r="BI136" s="293">
        <f t="shared" si="70"/>
        <v>-1.715623369204794</v>
      </c>
      <c r="BJ136" s="293">
        <f t="shared" si="71"/>
        <v>-1.1553311802746209</v>
      </c>
      <c r="BK136" s="278">
        <f t="shared" si="72"/>
        <v>0</v>
      </c>
      <c r="BL136" s="278">
        <f t="shared" si="73"/>
        <v>0</v>
      </c>
      <c r="BM136" s="278">
        <f t="shared" si="74"/>
        <v>0</v>
      </c>
      <c r="BN136" s="293">
        <f t="shared" si="75"/>
        <v>0</v>
      </c>
      <c r="BO136" s="293">
        <f t="shared" si="76"/>
        <v>0</v>
      </c>
      <c r="BP136" s="293">
        <f t="shared" si="77"/>
        <v>0</v>
      </c>
      <c r="BQ136" s="278">
        <f t="shared" si="78"/>
        <v>0</v>
      </c>
      <c r="BR136" s="223"/>
      <c r="BS136" s="1091">
        <f>IFERROR(VLOOKUP('C-sidumine'!Z47,'C-taust'!$C$95:$E$96, 3,FALSE)*$E$85,0)</f>
        <v>0.95</v>
      </c>
      <c r="BT136" s="305">
        <f t="shared" si="31"/>
        <v>3.9677400000000005</v>
      </c>
      <c r="BU136" s="293">
        <f t="shared" si="32"/>
        <v>52.714260000000003</v>
      </c>
      <c r="BV136" s="278">
        <f t="shared" si="103"/>
        <v>0</v>
      </c>
      <c r="BW136" s="278">
        <f t="shared" si="104"/>
        <v>0</v>
      </c>
      <c r="BX136" s="278">
        <f t="shared" si="105"/>
        <v>0</v>
      </c>
      <c r="BY136" s="293">
        <f t="shared" si="79"/>
        <v>-0.58813952668442093</v>
      </c>
      <c r="BZ136" s="293">
        <f t="shared" si="80"/>
        <v>-1.4988071809054597</v>
      </c>
      <c r="CA136" s="293">
        <f t="shared" si="81"/>
        <v>-1.0093233167616513</v>
      </c>
      <c r="CB136" s="278">
        <f t="shared" si="82"/>
        <v>0</v>
      </c>
      <c r="CC136" s="278">
        <f t="shared" si="83"/>
        <v>0</v>
      </c>
      <c r="CD136" s="278">
        <f t="shared" si="84"/>
        <v>0</v>
      </c>
      <c r="CE136" s="293">
        <f t="shared" si="85"/>
        <v>0</v>
      </c>
      <c r="CF136" s="293">
        <f t="shared" si="86"/>
        <v>0</v>
      </c>
      <c r="CG136" s="293">
        <f t="shared" si="87"/>
        <v>0</v>
      </c>
      <c r="CH136" s="278">
        <f t="shared" si="88"/>
        <v>0</v>
      </c>
      <c r="CI136" s="223"/>
      <c r="CJ136" s="1092"/>
    </row>
    <row r="137" spans="2:88" ht="17.5">
      <c r="B137" s="223">
        <f>IFERROR(VLOOKUP('C-sidumine'!Z48,'C-taust'!$C$95:$E$96, 3,FALSE)*$E$81,0)</f>
        <v>0.75</v>
      </c>
      <c r="C137" s="223">
        <f>'C-sidumine'!D48</f>
        <v>0</v>
      </c>
      <c r="D137" s="1097">
        <f t="shared" si="16"/>
        <v>4.6020519999999996</v>
      </c>
      <c r="E137" s="223">
        <f t="shared" si="17"/>
        <v>61.141547999999993</v>
      </c>
      <c r="F137" s="278">
        <f>'C-taust'!AB55</f>
        <v>0</v>
      </c>
      <c r="G137" s="278">
        <f t="shared" si="90"/>
        <v>0</v>
      </c>
      <c r="H137" s="278">
        <f t="shared" si="91"/>
        <v>0</v>
      </c>
      <c r="I137" s="293">
        <f t="shared" si="92"/>
        <v>-0.53855038617842876</v>
      </c>
      <c r="J137" s="293">
        <f t="shared" si="39"/>
        <v>-1.3724348550998668</v>
      </c>
      <c r="K137" s="293">
        <f t="shared" si="93"/>
        <v>-0.92422195305459387</v>
      </c>
      <c r="L137" s="278">
        <f t="shared" si="41"/>
        <v>0</v>
      </c>
      <c r="M137" s="278">
        <f t="shared" si="42"/>
        <v>0</v>
      </c>
      <c r="N137" s="278">
        <f t="shared" si="43"/>
        <v>0</v>
      </c>
      <c r="O137" s="293">
        <f t="shared" si="44"/>
        <v>0</v>
      </c>
      <c r="P137" s="293">
        <f t="shared" si="45"/>
        <v>0</v>
      </c>
      <c r="Q137" s="293">
        <f t="shared" si="46"/>
        <v>0</v>
      </c>
      <c r="R137" s="1104">
        <f t="shared" si="47"/>
        <v>0</v>
      </c>
      <c r="S137" s="223"/>
      <c r="T137" s="223">
        <f>IFERROR(VLOOKUP('C-sidumine'!Z48,'C-taust'!$C$95:$E$96, 3,FALSE)*$E$82,0)</f>
        <v>0.96</v>
      </c>
      <c r="U137" s="305">
        <f t="shared" si="18"/>
        <v>4.6020519999999996</v>
      </c>
      <c r="V137" s="293">
        <f t="shared" si="19"/>
        <v>61.141547999999993</v>
      </c>
      <c r="W137" s="278">
        <f t="shared" si="94"/>
        <v>0</v>
      </c>
      <c r="X137" s="278">
        <f t="shared" si="95"/>
        <v>0</v>
      </c>
      <c r="Y137" s="278">
        <f t="shared" si="96"/>
        <v>0</v>
      </c>
      <c r="Z137" s="293">
        <f t="shared" si="48"/>
        <v>-0.68934449430838873</v>
      </c>
      <c r="AA137" s="293">
        <f t="shared" si="49"/>
        <v>-1.7567166145278295</v>
      </c>
      <c r="AB137" s="293">
        <f t="shared" si="89"/>
        <v>-1.1830040999098801</v>
      </c>
      <c r="AC137" s="278">
        <f t="shared" si="50"/>
        <v>0</v>
      </c>
      <c r="AD137" s="278">
        <f t="shared" si="51"/>
        <v>0</v>
      </c>
      <c r="AE137" s="278">
        <f t="shared" si="52"/>
        <v>0</v>
      </c>
      <c r="AF137" s="293">
        <f t="shared" si="53"/>
        <v>0</v>
      </c>
      <c r="AG137" s="293">
        <f t="shared" si="54"/>
        <v>0</v>
      </c>
      <c r="AH137" s="293">
        <f t="shared" si="55"/>
        <v>0</v>
      </c>
      <c r="AI137" s="1104">
        <f t="shared" si="56"/>
        <v>0</v>
      </c>
      <c r="AJ137" s="223"/>
      <c r="AK137" s="223">
        <f>IFERROR(VLOOKUP('C-sidumine'!Z48,'C-taust'!$C$95:$E$96, 3,FALSE)*$E$83,0)</f>
        <v>1</v>
      </c>
      <c r="AL137" s="305">
        <f t="shared" si="57"/>
        <v>4.5655329999999994</v>
      </c>
      <c r="AM137" s="293">
        <f t="shared" si="58"/>
        <v>60.656366999999996</v>
      </c>
      <c r="AN137" s="278">
        <f t="shared" si="97"/>
        <v>0</v>
      </c>
      <c r="AO137" s="278">
        <f t="shared" si="98"/>
        <v>0</v>
      </c>
      <c r="AP137" s="278">
        <f t="shared" si="99"/>
        <v>0</v>
      </c>
      <c r="AQ137" s="293">
        <f t="shared" si="59"/>
        <v>-0.71236905051930755</v>
      </c>
      <c r="AR137" s="293">
        <f t="shared" si="60"/>
        <v>-1.815392096484687</v>
      </c>
      <c r="AS137" s="293">
        <f t="shared" si="61"/>
        <v>-1.2225172092782954</v>
      </c>
      <c r="AT137" s="278">
        <f t="shared" si="62"/>
        <v>0</v>
      </c>
      <c r="AU137" s="278">
        <f t="shared" si="63"/>
        <v>0</v>
      </c>
      <c r="AV137" s="278">
        <f t="shared" si="64"/>
        <v>0</v>
      </c>
      <c r="AW137" s="293">
        <f t="shared" si="65"/>
        <v>0</v>
      </c>
      <c r="AX137" s="293">
        <f t="shared" si="66"/>
        <v>0</v>
      </c>
      <c r="AY137" s="293">
        <f t="shared" si="67"/>
        <v>0</v>
      </c>
      <c r="AZ137" s="1104">
        <f t="shared" si="68"/>
        <v>0</v>
      </c>
      <c r="BA137" s="223"/>
      <c r="BB137" s="223">
        <f>IFERROR(VLOOKUP('C-sidumine'!Z48,'C-taust'!$C$95:$E$96, 3,FALSE)*$E$84,0)</f>
        <v>0.98</v>
      </c>
      <c r="BC137" s="305">
        <f t="shared" si="26"/>
        <v>4.4026780000000008</v>
      </c>
      <c r="BD137" s="293">
        <f t="shared" si="27"/>
        <v>58.492722000000008</v>
      </c>
      <c r="BE137" s="278">
        <f t="shared" si="100"/>
        <v>0</v>
      </c>
      <c r="BF137" s="278">
        <f t="shared" si="101"/>
        <v>0</v>
      </c>
      <c r="BG137" s="278">
        <f t="shared" si="102"/>
        <v>0</v>
      </c>
      <c r="BH137" s="293">
        <f t="shared" si="69"/>
        <v>-0.67321929677656478</v>
      </c>
      <c r="BI137" s="293">
        <f t="shared" si="70"/>
        <v>-1.715623369204794</v>
      </c>
      <c r="BJ137" s="293">
        <f t="shared" si="71"/>
        <v>-1.1553311802746209</v>
      </c>
      <c r="BK137" s="278">
        <f t="shared" si="72"/>
        <v>0</v>
      </c>
      <c r="BL137" s="278">
        <f t="shared" si="73"/>
        <v>0</v>
      </c>
      <c r="BM137" s="278">
        <f t="shared" si="74"/>
        <v>0</v>
      </c>
      <c r="BN137" s="293">
        <f t="shared" si="75"/>
        <v>0</v>
      </c>
      <c r="BO137" s="293">
        <f t="shared" si="76"/>
        <v>0</v>
      </c>
      <c r="BP137" s="293">
        <f t="shared" si="77"/>
        <v>0</v>
      </c>
      <c r="BQ137" s="278">
        <f t="shared" si="78"/>
        <v>0</v>
      </c>
      <c r="BR137" s="223"/>
      <c r="BS137" s="1091">
        <f>IFERROR(VLOOKUP('C-sidumine'!Z48,'C-taust'!$C$95:$E$96, 3,FALSE)*$E$85,0)</f>
        <v>0.95</v>
      </c>
      <c r="BT137" s="305">
        <f t="shared" si="31"/>
        <v>3.9677400000000005</v>
      </c>
      <c r="BU137" s="293">
        <f t="shared" si="32"/>
        <v>52.714260000000003</v>
      </c>
      <c r="BV137" s="278">
        <f t="shared" si="103"/>
        <v>0</v>
      </c>
      <c r="BW137" s="278">
        <f t="shared" si="104"/>
        <v>0</v>
      </c>
      <c r="BX137" s="278">
        <f t="shared" si="105"/>
        <v>0</v>
      </c>
      <c r="BY137" s="293">
        <f t="shared" si="79"/>
        <v>-0.58813952668442093</v>
      </c>
      <c r="BZ137" s="293">
        <f t="shared" si="80"/>
        <v>-1.4988071809054597</v>
      </c>
      <c r="CA137" s="293">
        <f t="shared" si="81"/>
        <v>-1.0093233167616513</v>
      </c>
      <c r="CB137" s="278">
        <f t="shared" si="82"/>
        <v>0</v>
      </c>
      <c r="CC137" s="278">
        <f t="shared" si="83"/>
        <v>0</v>
      </c>
      <c r="CD137" s="278">
        <f t="shared" si="84"/>
        <v>0</v>
      </c>
      <c r="CE137" s="293">
        <f t="shared" si="85"/>
        <v>0</v>
      </c>
      <c r="CF137" s="293">
        <f t="shared" si="86"/>
        <v>0</v>
      </c>
      <c r="CG137" s="293">
        <f t="shared" si="87"/>
        <v>0</v>
      </c>
      <c r="CH137" s="278">
        <f t="shared" si="88"/>
        <v>0</v>
      </c>
      <c r="CI137" s="223"/>
      <c r="CJ137" s="1092"/>
    </row>
    <row r="138" spans="2:88" ht="17.5">
      <c r="B138" s="223">
        <f>IFERROR(VLOOKUP('C-sidumine'!Z49,'C-taust'!$C$95:$E$96, 3,FALSE)*$E$81,0)</f>
        <v>0.75</v>
      </c>
      <c r="C138" s="223">
        <f>'C-sidumine'!D49</f>
        <v>0</v>
      </c>
      <c r="D138" s="1097">
        <f t="shared" si="16"/>
        <v>4.6020519999999996</v>
      </c>
      <c r="E138" s="223">
        <f t="shared" si="17"/>
        <v>61.141547999999993</v>
      </c>
      <c r="F138" s="278">
        <f>'C-taust'!AB56</f>
        <v>0</v>
      </c>
      <c r="G138" s="278">
        <f t="shared" si="90"/>
        <v>0</v>
      </c>
      <c r="H138" s="278">
        <f t="shared" si="91"/>
        <v>0</v>
      </c>
      <c r="I138" s="293">
        <f t="shared" si="92"/>
        <v>-0.53855038617842876</v>
      </c>
      <c r="J138" s="293">
        <f t="shared" si="39"/>
        <v>-1.3724348550998668</v>
      </c>
      <c r="K138" s="293">
        <f t="shared" si="93"/>
        <v>-0.92422195305459387</v>
      </c>
      <c r="L138" s="278">
        <f t="shared" si="41"/>
        <v>0</v>
      </c>
      <c r="M138" s="278">
        <f t="shared" si="42"/>
        <v>0</v>
      </c>
      <c r="N138" s="278">
        <f t="shared" si="43"/>
        <v>0</v>
      </c>
      <c r="O138" s="293">
        <f t="shared" si="44"/>
        <v>0</v>
      </c>
      <c r="P138" s="293">
        <f t="shared" si="45"/>
        <v>0</v>
      </c>
      <c r="Q138" s="293">
        <f t="shared" si="46"/>
        <v>0</v>
      </c>
      <c r="R138" s="1104">
        <f t="shared" si="47"/>
        <v>0</v>
      </c>
      <c r="S138" s="223"/>
      <c r="T138" s="223">
        <f>IFERROR(VLOOKUP('C-sidumine'!Z49,'C-taust'!$C$95:$E$96, 3,FALSE)*$E$82,0)</f>
        <v>0.96</v>
      </c>
      <c r="U138" s="305">
        <f t="shared" si="18"/>
        <v>4.6020519999999996</v>
      </c>
      <c r="V138" s="293">
        <f t="shared" si="19"/>
        <v>61.141547999999993</v>
      </c>
      <c r="W138" s="278">
        <f t="shared" si="94"/>
        <v>0</v>
      </c>
      <c r="X138" s="278">
        <f t="shared" si="95"/>
        <v>0</v>
      </c>
      <c r="Y138" s="278">
        <f t="shared" si="96"/>
        <v>0</v>
      </c>
      <c r="Z138" s="293">
        <f t="shared" si="48"/>
        <v>-0.68934449430838873</v>
      </c>
      <c r="AA138" s="293">
        <f t="shared" si="49"/>
        <v>-1.7567166145278295</v>
      </c>
      <c r="AB138" s="293">
        <f t="shared" si="89"/>
        <v>-1.1830040999098801</v>
      </c>
      <c r="AC138" s="278">
        <f t="shared" si="50"/>
        <v>0</v>
      </c>
      <c r="AD138" s="278">
        <f t="shared" si="51"/>
        <v>0</v>
      </c>
      <c r="AE138" s="278">
        <f t="shared" si="52"/>
        <v>0</v>
      </c>
      <c r="AF138" s="293">
        <f t="shared" si="53"/>
        <v>0</v>
      </c>
      <c r="AG138" s="293">
        <f t="shared" si="54"/>
        <v>0</v>
      </c>
      <c r="AH138" s="293">
        <f t="shared" si="55"/>
        <v>0</v>
      </c>
      <c r="AI138" s="1104">
        <f t="shared" si="56"/>
        <v>0</v>
      </c>
      <c r="AJ138" s="223"/>
      <c r="AK138" s="223">
        <f>IFERROR(VLOOKUP('C-sidumine'!Z49,'C-taust'!$C$95:$E$96, 3,FALSE)*$E$83,0)</f>
        <v>1</v>
      </c>
      <c r="AL138" s="305">
        <f t="shared" si="57"/>
        <v>4.5655329999999994</v>
      </c>
      <c r="AM138" s="293">
        <f t="shared" si="58"/>
        <v>60.656366999999996</v>
      </c>
      <c r="AN138" s="278">
        <f t="shared" si="97"/>
        <v>0</v>
      </c>
      <c r="AO138" s="278">
        <f t="shared" si="98"/>
        <v>0</v>
      </c>
      <c r="AP138" s="278">
        <f t="shared" si="99"/>
        <v>0</v>
      </c>
      <c r="AQ138" s="293">
        <f t="shared" si="59"/>
        <v>-0.71236905051930755</v>
      </c>
      <c r="AR138" s="293">
        <f t="shared" si="60"/>
        <v>-1.815392096484687</v>
      </c>
      <c r="AS138" s="293">
        <f t="shared" si="61"/>
        <v>-1.2225172092782954</v>
      </c>
      <c r="AT138" s="278">
        <f t="shared" si="62"/>
        <v>0</v>
      </c>
      <c r="AU138" s="278">
        <f t="shared" si="63"/>
        <v>0</v>
      </c>
      <c r="AV138" s="278">
        <f t="shared" si="64"/>
        <v>0</v>
      </c>
      <c r="AW138" s="293">
        <f t="shared" si="65"/>
        <v>0</v>
      </c>
      <c r="AX138" s="293">
        <f t="shared" si="66"/>
        <v>0</v>
      </c>
      <c r="AY138" s="293">
        <f t="shared" si="67"/>
        <v>0</v>
      </c>
      <c r="AZ138" s="1104">
        <f t="shared" si="68"/>
        <v>0</v>
      </c>
      <c r="BA138" s="223"/>
      <c r="BB138" s="223">
        <f>IFERROR(VLOOKUP('C-sidumine'!Z49,'C-taust'!$C$95:$E$96, 3,FALSE)*$E$84,0)</f>
        <v>0.98</v>
      </c>
      <c r="BC138" s="305">
        <f t="shared" si="26"/>
        <v>4.4026780000000008</v>
      </c>
      <c r="BD138" s="293">
        <f t="shared" si="27"/>
        <v>58.492722000000008</v>
      </c>
      <c r="BE138" s="278">
        <f t="shared" si="100"/>
        <v>0</v>
      </c>
      <c r="BF138" s="278">
        <f t="shared" si="101"/>
        <v>0</v>
      </c>
      <c r="BG138" s="278">
        <f t="shared" si="102"/>
        <v>0</v>
      </c>
      <c r="BH138" s="293">
        <f t="shared" si="69"/>
        <v>-0.67321929677656478</v>
      </c>
      <c r="BI138" s="293">
        <f t="shared" si="70"/>
        <v>-1.715623369204794</v>
      </c>
      <c r="BJ138" s="293">
        <f t="shared" si="71"/>
        <v>-1.1553311802746209</v>
      </c>
      <c r="BK138" s="278">
        <f t="shared" si="72"/>
        <v>0</v>
      </c>
      <c r="BL138" s="278">
        <f t="shared" si="73"/>
        <v>0</v>
      </c>
      <c r="BM138" s="278">
        <f t="shared" si="74"/>
        <v>0</v>
      </c>
      <c r="BN138" s="293">
        <f t="shared" si="75"/>
        <v>0</v>
      </c>
      <c r="BO138" s="293">
        <f t="shared" si="76"/>
        <v>0</v>
      </c>
      <c r="BP138" s="293">
        <f t="shared" si="77"/>
        <v>0</v>
      </c>
      <c r="BQ138" s="278">
        <f t="shared" si="78"/>
        <v>0</v>
      </c>
      <c r="BR138" s="223"/>
      <c r="BS138" s="1091">
        <f>IFERROR(VLOOKUP('C-sidumine'!Z49,'C-taust'!$C$95:$E$96, 3,FALSE)*$E$85,0)</f>
        <v>0.95</v>
      </c>
      <c r="BT138" s="305">
        <f t="shared" si="31"/>
        <v>3.9677400000000005</v>
      </c>
      <c r="BU138" s="293">
        <f t="shared" si="32"/>
        <v>52.714260000000003</v>
      </c>
      <c r="BV138" s="278">
        <f t="shared" si="103"/>
        <v>0</v>
      </c>
      <c r="BW138" s="278">
        <f t="shared" si="104"/>
        <v>0</v>
      </c>
      <c r="BX138" s="278">
        <f t="shared" si="105"/>
        <v>0</v>
      </c>
      <c r="BY138" s="293">
        <f t="shared" si="79"/>
        <v>-0.58813952668442093</v>
      </c>
      <c r="BZ138" s="293">
        <f t="shared" si="80"/>
        <v>-1.4988071809054597</v>
      </c>
      <c r="CA138" s="293">
        <f t="shared" si="81"/>
        <v>-1.0093233167616513</v>
      </c>
      <c r="CB138" s="278">
        <f t="shared" si="82"/>
        <v>0</v>
      </c>
      <c r="CC138" s="278">
        <f t="shared" si="83"/>
        <v>0</v>
      </c>
      <c r="CD138" s="278">
        <f t="shared" si="84"/>
        <v>0</v>
      </c>
      <c r="CE138" s="293">
        <f t="shared" si="85"/>
        <v>0</v>
      </c>
      <c r="CF138" s="293">
        <f t="shared" si="86"/>
        <v>0</v>
      </c>
      <c r="CG138" s="293">
        <f t="shared" si="87"/>
        <v>0</v>
      </c>
      <c r="CH138" s="278">
        <f t="shared" si="88"/>
        <v>0</v>
      </c>
      <c r="CI138" s="223"/>
      <c r="CJ138" s="1092"/>
    </row>
    <row r="139" spans="2:88" ht="17.5">
      <c r="B139" s="223">
        <f>IFERROR(VLOOKUP('C-sidumine'!Z50,'C-taust'!$C$95:$E$96, 3,FALSE)*$E$81,0)</f>
        <v>0.75</v>
      </c>
      <c r="C139" s="223">
        <f>'C-sidumine'!D50</f>
        <v>0</v>
      </c>
      <c r="D139" s="1097">
        <f t="shared" si="16"/>
        <v>4.6020519999999996</v>
      </c>
      <c r="E139" s="223">
        <f t="shared" si="17"/>
        <v>61.141547999999993</v>
      </c>
      <c r="F139" s="278">
        <f>'C-taust'!AB57</f>
        <v>0</v>
      </c>
      <c r="G139" s="278">
        <f t="shared" si="90"/>
        <v>0</v>
      </c>
      <c r="H139" s="278">
        <f t="shared" si="91"/>
        <v>0</v>
      </c>
      <c r="I139" s="293">
        <f t="shared" si="92"/>
        <v>-0.53855038617842876</v>
      </c>
      <c r="J139" s="293">
        <f t="shared" si="39"/>
        <v>-1.3724348550998668</v>
      </c>
      <c r="K139" s="293">
        <f t="shared" si="93"/>
        <v>-0.92422195305459387</v>
      </c>
      <c r="L139" s="278">
        <f t="shared" si="41"/>
        <v>0</v>
      </c>
      <c r="M139" s="278">
        <f t="shared" si="42"/>
        <v>0</v>
      </c>
      <c r="N139" s="278">
        <f t="shared" si="43"/>
        <v>0</v>
      </c>
      <c r="O139" s="293">
        <f t="shared" si="44"/>
        <v>0</v>
      </c>
      <c r="P139" s="293">
        <f t="shared" si="45"/>
        <v>0</v>
      </c>
      <c r="Q139" s="293">
        <f t="shared" si="46"/>
        <v>0</v>
      </c>
      <c r="R139" s="1104">
        <f t="shared" si="47"/>
        <v>0</v>
      </c>
      <c r="S139" s="223"/>
      <c r="T139" s="223">
        <f>IFERROR(VLOOKUP('C-sidumine'!Z50,'C-taust'!$C$95:$E$96, 3,FALSE)*$E$82,0)</f>
        <v>0.96</v>
      </c>
      <c r="U139" s="305">
        <f t="shared" si="18"/>
        <v>4.6020519999999996</v>
      </c>
      <c r="V139" s="293">
        <f t="shared" si="19"/>
        <v>61.141547999999993</v>
      </c>
      <c r="W139" s="278">
        <f t="shared" si="94"/>
        <v>0</v>
      </c>
      <c r="X139" s="278">
        <f t="shared" si="95"/>
        <v>0</v>
      </c>
      <c r="Y139" s="278">
        <f t="shared" si="96"/>
        <v>0</v>
      </c>
      <c r="Z139" s="293">
        <f t="shared" si="48"/>
        <v>-0.68934449430838873</v>
      </c>
      <c r="AA139" s="293">
        <f t="shared" si="49"/>
        <v>-1.7567166145278295</v>
      </c>
      <c r="AB139" s="293">
        <f t="shared" si="89"/>
        <v>-1.1830040999098801</v>
      </c>
      <c r="AC139" s="278">
        <f t="shared" si="50"/>
        <v>0</v>
      </c>
      <c r="AD139" s="278">
        <f t="shared" si="51"/>
        <v>0</v>
      </c>
      <c r="AE139" s="278">
        <f t="shared" si="52"/>
        <v>0</v>
      </c>
      <c r="AF139" s="293">
        <f t="shared" si="53"/>
        <v>0</v>
      </c>
      <c r="AG139" s="293">
        <f t="shared" si="54"/>
        <v>0</v>
      </c>
      <c r="AH139" s="293">
        <f t="shared" si="55"/>
        <v>0</v>
      </c>
      <c r="AI139" s="1104">
        <f t="shared" si="56"/>
        <v>0</v>
      </c>
      <c r="AJ139" s="223"/>
      <c r="AK139" s="223">
        <f>IFERROR(VLOOKUP('C-sidumine'!Z50,'C-taust'!$C$95:$E$96, 3,FALSE)*$E$83,0)</f>
        <v>1</v>
      </c>
      <c r="AL139" s="305">
        <f t="shared" si="57"/>
        <v>4.5655329999999994</v>
      </c>
      <c r="AM139" s="293">
        <f t="shared" si="58"/>
        <v>60.656366999999996</v>
      </c>
      <c r="AN139" s="278">
        <f t="shared" si="97"/>
        <v>0</v>
      </c>
      <c r="AO139" s="278">
        <f t="shared" si="98"/>
        <v>0</v>
      </c>
      <c r="AP139" s="278">
        <f t="shared" si="99"/>
        <v>0</v>
      </c>
      <c r="AQ139" s="293">
        <f t="shared" si="59"/>
        <v>-0.71236905051930755</v>
      </c>
      <c r="AR139" s="293">
        <f t="shared" si="60"/>
        <v>-1.815392096484687</v>
      </c>
      <c r="AS139" s="293">
        <f t="shared" si="61"/>
        <v>-1.2225172092782954</v>
      </c>
      <c r="AT139" s="278">
        <f t="shared" si="62"/>
        <v>0</v>
      </c>
      <c r="AU139" s="278">
        <f t="shared" si="63"/>
        <v>0</v>
      </c>
      <c r="AV139" s="278">
        <f t="shared" si="64"/>
        <v>0</v>
      </c>
      <c r="AW139" s="293">
        <f t="shared" si="65"/>
        <v>0</v>
      </c>
      <c r="AX139" s="293">
        <f t="shared" si="66"/>
        <v>0</v>
      </c>
      <c r="AY139" s="293">
        <f t="shared" si="67"/>
        <v>0</v>
      </c>
      <c r="AZ139" s="1104">
        <f t="shared" si="68"/>
        <v>0</v>
      </c>
      <c r="BA139" s="223"/>
      <c r="BB139" s="223">
        <f>IFERROR(VLOOKUP('C-sidumine'!Z50,'C-taust'!$C$95:$E$96, 3,FALSE)*$E$84,0)</f>
        <v>0.98</v>
      </c>
      <c r="BC139" s="305">
        <f t="shared" si="26"/>
        <v>4.4026780000000008</v>
      </c>
      <c r="BD139" s="293">
        <f t="shared" si="27"/>
        <v>58.492722000000008</v>
      </c>
      <c r="BE139" s="278">
        <f t="shared" si="100"/>
        <v>0</v>
      </c>
      <c r="BF139" s="278">
        <f t="shared" si="101"/>
        <v>0</v>
      </c>
      <c r="BG139" s="278">
        <f t="shared" si="102"/>
        <v>0</v>
      </c>
      <c r="BH139" s="293">
        <f t="shared" si="69"/>
        <v>-0.67321929677656478</v>
      </c>
      <c r="BI139" s="293">
        <f t="shared" si="70"/>
        <v>-1.715623369204794</v>
      </c>
      <c r="BJ139" s="293">
        <f t="shared" si="71"/>
        <v>-1.1553311802746209</v>
      </c>
      <c r="BK139" s="278">
        <f t="shared" si="72"/>
        <v>0</v>
      </c>
      <c r="BL139" s="278">
        <f t="shared" si="73"/>
        <v>0</v>
      </c>
      <c r="BM139" s="278">
        <f t="shared" si="74"/>
        <v>0</v>
      </c>
      <c r="BN139" s="293">
        <f t="shared" si="75"/>
        <v>0</v>
      </c>
      <c r="BO139" s="293">
        <f t="shared" si="76"/>
        <v>0</v>
      </c>
      <c r="BP139" s="293">
        <f t="shared" si="77"/>
        <v>0</v>
      </c>
      <c r="BQ139" s="278">
        <f t="shared" si="78"/>
        <v>0</v>
      </c>
      <c r="BR139" s="223"/>
      <c r="BS139" s="1091">
        <f>IFERROR(VLOOKUP('C-sidumine'!Z50,'C-taust'!$C$95:$E$96, 3,FALSE)*$E$85,0)</f>
        <v>0.95</v>
      </c>
      <c r="BT139" s="305">
        <f t="shared" si="31"/>
        <v>3.9677400000000005</v>
      </c>
      <c r="BU139" s="293">
        <f t="shared" si="32"/>
        <v>52.714260000000003</v>
      </c>
      <c r="BV139" s="278">
        <f t="shared" si="103"/>
        <v>0</v>
      </c>
      <c r="BW139" s="278">
        <f t="shared" si="104"/>
        <v>0</v>
      </c>
      <c r="BX139" s="278">
        <f t="shared" si="105"/>
        <v>0</v>
      </c>
      <c r="BY139" s="293">
        <f t="shared" si="79"/>
        <v>-0.58813952668442093</v>
      </c>
      <c r="BZ139" s="293">
        <f t="shared" si="80"/>
        <v>-1.4988071809054597</v>
      </c>
      <c r="CA139" s="293">
        <f t="shared" si="81"/>
        <v>-1.0093233167616513</v>
      </c>
      <c r="CB139" s="278">
        <f t="shared" si="82"/>
        <v>0</v>
      </c>
      <c r="CC139" s="278">
        <f t="shared" si="83"/>
        <v>0</v>
      </c>
      <c r="CD139" s="278">
        <f t="shared" si="84"/>
        <v>0</v>
      </c>
      <c r="CE139" s="293">
        <f t="shared" si="85"/>
        <v>0</v>
      </c>
      <c r="CF139" s="293">
        <f t="shared" si="86"/>
        <v>0</v>
      </c>
      <c r="CG139" s="293">
        <f t="shared" si="87"/>
        <v>0</v>
      </c>
      <c r="CH139" s="278">
        <f t="shared" si="88"/>
        <v>0</v>
      </c>
      <c r="CI139" s="223"/>
      <c r="CJ139" s="1092"/>
    </row>
    <row r="140" spans="2:88" ht="17.5">
      <c r="B140" s="223">
        <f>IFERROR(VLOOKUP('C-sidumine'!Z51,'C-taust'!$C$95:$E$96, 3,FALSE)*$E$81,0)</f>
        <v>0.75</v>
      </c>
      <c r="C140" s="223">
        <f>'C-sidumine'!D51</f>
        <v>0</v>
      </c>
      <c r="D140" s="1097">
        <f t="shared" si="16"/>
        <v>4.6020519999999996</v>
      </c>
      <c r="E140" s="223">
        <f t="shared" si="17"/>
        <v>61.141547999999993</v>
      </c>
      <c r="F140" s="278">
        <f>'C-taust'!AB58</f>
        <v>0</v>
      </c>
      <c r="G140" s="278">
        <f t="shared" si="90"/>
        <v>0</v>
      </c>
      <c r="H140" s="278">
        <f t="shared" si="91"/>
        <v>0</v>
      </c>
      <c r="I140" s="293">
        <f t="shared" si="92"/>
        <v>-0.53855038617842876</v>
      </c>
      <c r="J140" s="293">
        <f t="shared" si="39"/>
        <v>-1.3724348550998668</v>
      </c>
      <c r="K140" s="293">
        <f t="shared" si="93"/>
        <v>-0.92422195305459387</v>
      </c>
      <c r="L140" s="278">
        <f t="shared" si="41"/>
        <v>0</v>
      </c>
      <c r="M140" s="278">
        <f t="shared" si="42"/>
        <v>0</v>
      </c>
      <c r="N140" s="278">
        <f t="shared" si="43"/>
        <v>0</v>
      </c>
      <c r="O140" s="293">
        <f t="shared" si="44"/>
        <v>0</v>
      </c>
      <c r="P140" s="293">
        <f t="shared" si="45"/>
        <v>0</v>
      </c>
      <c r="Q140" s="293">
        <f t="shared" si="46"/>
        <v>0</v>
      </c>
      <c r="R140" s="1104">
        <f t="shared" si="47"/>
        <v>0</v>
      </c>
      <c r="S140" s="223"/>
      <c r="T140" s="223">
        <f>IFERROR(VLOOKUP('C-sidumine'!Z51,'C-taust'!$C$95:$E$96, 3,FALSE)*$E$82,0)</f>
        <v>0.96</v>
      </c>
      <c r="U140" s="305">
        <f t="shared" si="18"/>
        <v>4.6020519999999996</v>
      </c>
      <c r="V140" s="293">
        <f t="shared" si="19"/>
        <v>61.141547999999993</v>
      </c>
      <c r="W140" s="278">
        <f t="shared" si="94"/>
        <v>0</v>
      </c>
      <c r="X140" s="278">
        <f t="shared" si="95"/>
        <v>0</v>
      </c>
      <c r="Y140" s="278">
        <f t="shared" si="96"/>
        <v>0</v>
      </c>
      <c r="Z140" s="293">
        <f t="shared" si="48"/>
        <v>-0.68934449430838873</v>
      </c>
      <c r="AA140" s="293">
        <f t="shared" si="49"/>
        <v>-1.7567166145278295</v>
      </c>
      <c r="AB140" s="293">
        <f t="shared" si="89"/>
        <v>-1.1830040999098801</v>
      </c>
      <c r="AC140" s="278">
        <f t="shared" si="50"/>
        <v>0</v>
      </c>
      <c r="AD140" s="278">
        <f t="shared" si="51"/>
        <v>0</v>
      </c>
      <c r="AE140" s="278">
        <f t="shared" si="52"/>
        <v>0</v>
      </c>
      <c r="AF140" s="293">
        <f t="shared" si="53"/>
        <v>0</v>
      </c>
      <c r="AG140" s="293">
        <f t="shared" si="54"/>
        <v>0</v>
      </c>
      <c r="AH140" s="293">
        <f t="shared" si="55"/>
        <v>0</v>
      </c>
      <c r="AI140" s="1104">
        <f t="shared" si="56"/>
        <v>0</v>
      </c>
      <c r="AJ140" s="223"/>
      <c r="AK140" s="223">
        <f>IFERROR(VLOOKUP('C-sidumine'!Z51,'C-taust'!$C$95:$E$96, 3,FALSE)*$E$83,0)</f>
        <v>1</v>
      </c>
      <c r="AL140" s="305">
        <f t="shared" si="57"/>
        <v>4.5655329999999994</v>
      </c>
      <c r="AM140" s="293">
        <f t="shared" si="58"/>
        <v>60.656366999999996</v>
      </c>
      <c r="AN140" s="278">
        <f t="shared" si="97"/>
        <v>0</v>
      </c>
      <c r="AO140" s="278">
        <f t="shared" si="98"/>
        <v>0</v>
      </c>
      <c r="AP140" s="278">
        <f t="shared" si="99"/>
        <v>0</v>
      </c>
      <c r="AQ140" s="293">
        <f t="shared" si="59"/>
        <v>-0.71236905051930755</v>
      </c>
      <c r="AR140" s="293">
        <f t="shared" si="60"/>
        <v>-1.815392096484687</v>
      </c>
      <c r="AS140" s="293">
        <f t="shared" si="61"/>
        <v>-1.2225172092782954</v>
      </c>
      <c r="AT140" s="278">
        <f t="shared" si="62"/>
        <v>0</v>
      </c>
      <c r="AU140" s="278">
        <f t="shared" si="63"/>
        <v>0</v>
      </c>
      <c r="AV140" s="278">
        <f t="shared" si="64"/>
        <v>0</v>
      </c>
      <c r="AW140" s="293">
        <f t="shared" si="65"/>
        <v>0</v>
      </c>
      <c r="AX140" s="293">
        <f t="shared" si="66"/>
        <v>0</v>
      </c>
      <c r="AY140" s="293">
        <f t="shared" si="67"/>
        <v>0</v>
      </c>
      <c r="AZ140" s="1104">
        <f t="shared" si="68"/>
        <v>0</v>
      </c>
      <c r="BA140" s="223"/>
      <c r="BB140" s="223">
        <f>IFERROR(VLOOKUP('C-sidumine'!Z51,'C-taust'!$C$95:$E$96, 3,FALSE)*$E$84,0)</f>
        <v>0.98</v>
      </c>
      <c r="BC140" s="305">
        <f t="shared" si="26"/>
        <v>4.4026780000000008</v>
      </c>
      <c r="BD140" s="293">
        <f t="shared" si="27"/>
        <v>58.492722000000008</v>
      </c>
      <c r="BE140" s="278">
        <f t="shared" si="100"/>
        <v>0</v>
      </c>
      <c r="BF140" s="278">
        <f t="shared" si="101"/>
        <v>0</v>
      </c>
      <c r="BG140" s="278">
        <f t="shared" si="102"/>
        <v>0</v>
      </c>
      <c r="BH140" s="293">
        <f t="shared" si="69"/>
        <v>-0.67321929677656478</v>
      </c>
      <c r="BI140" s="293">
        <f t="shared" si="70"/>
        <v>-1.715623369204794</v>
      </c>
      <c r="BJ140" s="293">
        <f t="shared" si="71"/>
        <v>-1.1553311802746209</v>
      </c>
      <c r="BK140" s="278">
        <f t="shared" si="72"/>
        <v>0</v>
      </c>
      <c r="BL140" s="278">
        <f t="shared" si="73"/>
        <v>0</v>
      </c>
      <c r="BM140" s="278">
        <f t="shared" si="74"/>
        <v>0</v>
      </c>
      <c r="BN140" s="293">
        <f t="shared" si="75"/>
        <v>0</v>
      </c>
      <c r="BO140" s="293">
        <f t="shared" si="76"/>
        <v>0</v>
      </c>
      <c r="BP140" s="293">
        <f t="shared" si="77"/>
        <v>0</v>
      </c>
      <c r="BQ140" s="278">
        <f t="shared" si="78"/>
        <v>0</v>
      </c>
      <c r="BR140" s="223"/>
      <c r="BS140" s="1091">
        <f>IFERROR(VLOOKUP('C-sidumine'!Z51,'C-taust'!$C$95:$E$96, 3,FALSE)*$E$85,0)</f>
        <v>0.95</v>
      </c>
      <c r="BT140" s="305">
        <f t="shared" si="31"/>
        <v>3.9677400000000005</v>
      </c>
      <c r="BU140" s="293">
        <f t="shared" si="32"/>
        <v>52.714260000000003</v>
      </c>
      <c r="BV140" s="278">
        <f t="shared" si="103"/>
        <v>0</v>
      </c>
      <c r="BW140" s="278">
        <f t="shared" si="104"/>
        <v>0</v>
      </c>
      <c r="BX140" s="278">
        <f t="shared" si="105"/>
        <v>0</v>
      </c>
      <c r="BY140" s="293">
        <f t="shared" si="79"/>
        <v>-0.58813952668442093</v>
      </c>
      <c r="BZ140" s="293">
        <f t="shared" si="80"/>
        <v>-1.4988071809054597</v>
      </c>
      <c r="CA140" s="293">
        <f t="shared" si="81"/>
        <v>-1.0093233167616513</v>
      </c>
      <c r="CB140" s="278">
        <f t="shared" si="82"/>
        <v>0</v>
      </c>
      <c r="CC140" s="278">
        <f t="shared" si="83"/>
        <v>0</v>
      </c>
      <c r="CD140" s="278">
        <f t="shared" si="84"/>
        <v>0</v>
      </c>
      <c r="CE140" s="293">
        <f t="shared" si="85"/>
        <v>0</v>
      </c>
      <c r="CF140" s="293">
        <f t="shared" si="86"/>
        <v>0</v>
      </c>
      <c r="CG140" s="293">
        <f t="shared" si="87"/>
        <v>0</v>
      </c>
      <c r="CH140" s="278">
        <f t="shared" si="88"/>
        <v>0</v>
      </c>
      <c r="CI140" s="223"/>
      <c r="CJ140" s="1092"/>
    </row>
    <row r="141" spans="2:88" ht="17.5">
      <c r="B141" s="223">
        <f>IFERROR(VLOOKUP('C-sidumine'!Z52,'C-taust'!$C$95:$E$96, 3,FALSE)*$E$81,0)</f>
        <v>0.75</v>
      </c>
      <c r="C141" s="223">
        <f>'C-sidumine'!D52</f>
        <v>0</v>
      </c>
      <c r="D141" s="1097">
        <f t="shared" si="16"/>
        <v>4.6020519999999996</v>
      </c>
      <c r="E141" s="223">
        <f t="shared" si="17"/>
        <v>61.141547999999993</v>
      </c>
      <c r="F141" s="278">
        <f>'C-taust'!AB59</f>
        <v>0</v>
      </c>
      <c r="G141" s="278">
        <f t="shared" si="90"/>
        <v>0</v>
      </c>
      <c r="H141" s="278">
        <f t="shared" si="91"/>
        <v>0</v>
      </c>
      <c r="I141" s="293">
        <f t="shared" si="92"/>
        <v>-0.53855038617842876</v>
      </c>
      <c r="J141" s="293">
        <f t="shared" si="39"/>
        <v>-1.3724348550998668</v>
      </c>
      <c r="K141" s="293">
        <f t="shared" si="93"/>
        <v>-0.92422195305459387</v>
      </c>
      <c r="L141" s="278">
        <f t="shared" si="41"/>
        <v>0</v>
      </c>
      <c r="M141" s="278">
        <f t="shared" si="42"/>
        <v>0</v>
      </c>
      <c r="N141" s="278">
        <f t="shared" si="43"/>
        <v>0</v>
      </c>
      <c r="O141" s="293">
        <f t="shared" si="44"/>
        <v>0</v>
      </c>
      <c r="P141" s="293">
        <f t="shared" si="45"/>
        <v>0</v>
      </c>
      <c r="Q141" s="293">
        <f t="shared" si="46"/>
        <v>0</v>
      </c>
      <c r="R141" s="1104">
        <f t="shared" si="47"/>
        <v>0</v>
      </c>
      <c r="S141" s="223"/>
      <c r="T141" s="223">
        <f>IFERROR(VLOOKUP('C-sidumine'!Z52,'C-taust'!$C$95:$E$96, 3,FALSE)*$E$82,0)</f>
        <v>0.96</v>
      </c>
      <c r="U141" s="305">
        <f t="shared" si="18"/>
        <v>4.6020519999999996</v>
      </c>
      <c r="V141" s="293">
        <f t="shared" si="19"/>
        <v>61.141547999999993</v>
      </c>
      <c r="W141" s="278">
        <f t="shared" si="94"/>
        <v>0</v>
      </c>
      <c r="X141" s="278">
        <f t="shared" si="95"/>
        <v>0</v>
      </c>
      <c r="Y141" s="278">
        <f t="shared" si="96"/>
        <v>0</v>
      </c>
      <c r="Z141" s="293">
        <f t="shared" si="48"/>
        <v>-0.68934449430838873</v>
      </c>
      <c r="AA141" s="293">
        <f t="shared" si="49"/>
        <v>-1.7567166145278295</v>
      </c>
      <c r="AB141" s="293">
        <f t="shared" si="89"/>
        <v>-1.1830040999098801</v>
      </c>
      <c r="AC141" s="278">
        <f t="shared" si="50"/>
        <v>0</v>
      </c>
      <c r="AD141" s="278">
        <f t="shared" si="51"/>
        <v>0</v>
      </c>
      <c r="AE141" s="278">
        <f t="shared" si="52"/>
        <v>0</v>
      </c>
      <c r="AF141" s="293">
        <f t="shared" si="53"/>
        <v>0</v>
      </c>
      <c r="AG141" s="293">
        <f t="shared" si="54"/>
        <v>0</v>
      </c>
      <c r="AH141" s="293">
        <f t="shared" si="55"/>
        <v>0</v>
      </c>
      <c r="AI141" s="1104">
        <f t="shared" si="56"/>
        <v>0</v>
      </c>
      <c r="AJ141" s="223"/>
      <c r="AK141" s="223">
        <f>IFERROR(VLOOKUP('C-sidumine'!Z52,'C-taust'!$C$95:$E$96, 3,FALSE)*$E$83,0)</f>
        <v>1</v>
      </c>
      <c r="AL141" s="305">
        <f t="shared" si="57"/>
        <v>4.5655329999999994</v>
      </c>
      <c r="AM141" s="293">
        <f t="shared" si="58"/>
        <v>60.656366999999996</v>
      </c>
      <c r="AN141" s="278">
        <f t="shared" si="97"/>
        <v>0</v>
      </c>
      <c r="AO141" s="278">
        <f t="shared" si="98"/>
        <v>0</v>
      </c>
      <c r="AP141" s="278">
        <f t="shared" si="99"/>
        <v>0</v>
      </c>
      <c r="AQ141" s="293">
        <f t="shared" si="59"/>
        <v>-0.71236905051930755</v>
      </c>
      <c r="AR141" s="293">
        <f t="shared" si="60"/>
        <v>-1.815392096484687</v>
      </c>
      <c r="AS141" s="293">
        <f t="shared" si="61"/>
        <v>-1.2225172092782954</v>
      </c>
      <c r="AT141" s="278">
        <f t="shared" si="62"/>
        <v>0</v>
      </c>
      <c r="AU141" s="278">
        <f t="shared" si="63"/>
        <v>0</v>
      </c>
      <c r="AV141" s="278">
        <f t="shared" si="64"/>
        <v>0</v>
      </c>
      <c r="AW141" s="293">
        <f t="shared" si="65"/>
        <v>0</v>
      </c>
      <c r="AX141" s="293">
        <f t="shared" si="66"/>
        <v>0</v>
      </c>
      <c r="AY141" s="293">
        <f t="shared" si="67"/>
        <v>0</v>
      </c>
      <c r="AZ141" s="1104">
        <f t="shared" si="68"/>
        <v>0</v>
      </c>
      <c r="BA141" s="223"/>
      <c r="BB141" s="223">
        <f>IFERROR(VLOOKUP('C-sidumine'!Z52,'C-taust'!$C$95:$E$96, 3,FALSE)*$E$84,0)</f>
        <v>0.98</v>
      </c>
      <c r="BC141" s="305">
        <f t="shared" si="26"/>
        <v>4.4026780000000008</v>
      </c>
      <c r="BD141" s="293">
        <f t="shared" si="27"/>
        <v>58.492722000000008</v>
      </c>
      <c r="BE141" s="278">
        <f t="shared" si="100"/>
        <v>0</v>
      </c>
      <c r="BF141" s="278">
        <f t="shared" si="101"/>
        <v>0</v>
      </c>
      <c r="BG141" s="278">
        <f t="shared" si="102"/>
        <v>0</v>
      </c>
      <c r="BH141" s="293">
        <f t="shared" si="69"/>
        <v>-0.67321929677656478</v>
      </c>
      <c r="BI141" s="293">
        <f t="shared" si="70"/>
        <v>-1.715623369204794</v>
      </c>
      <c r="BJ141" s="293">
        <f t="shared" si="71"/>
        <v>-1.1553311802746209</v>
      </c>
      <c r="BK141" s="278">
        <f t="shared" si="72"/>
        <v>0</v>
      </c>
      <c r="BL141" s="278">
        <f t="shared" si="73"/>
        <v>0</v>
      </c>
      <c r="BM141" s="278">
        <f t="shared" si="74"/>
        <v>0</v>
      </c>
      <c r="BN141" s="293">
        <f t="shared" si="75"/>
        <v>0</v>
      </c>
      <c r="BO141" s="293">
        <f t="shared" si="76"/>
        <v>0</v>
      </c>
      <c r="BP141" s="293">
        <f t="shared" si="77"/>
        <v>0</v>
      </c>
      <c r="BQ141" s="278">
        <f t="shared" si="78"/>
        <v>0</v>
      </c>
      <c r="BR141" s="223"/>
      <c r="BS141" s="1091">
        <f>IFERROR(VLOOKUP('C-sidumine'!Z52,'C-taust'!$C$95:$E$96, 3,FALSE)*$E$85,0)</f>
        <v>0.95</v>
      </c>
      <c r="BT141" s="305">
        <f t="shared" si="31"/>
        <v>3.9677400000000005</v>
      </c>
      <c r="BU141" s="293">
        <f t="shared" si="32"/>
        <v>52.714260000000003</v>
      </c>
      <c r="BV141" s="278">
        <f t="shared" si="103"/>
        <v>0</v>
      </c>
      <c r="BW141" s="278">
        <f t="shared" si="104"/>
        <v>0</v>
      </c>
      <c r="BX141" s="278">
        <f t="shared" si="105"/>
        <v>0</v>
      </c>
      <c r="BY141" s="293">
        <f t="shared" si="79"/>
        <v>-0.58813952668442093</v>
      </c>
      <c r="BZ141" s="293">
        <f t="shared" si="80"/>
        <v>-1.4988071809054597</v>
      </c>
      <c r="CA141" s="293">
        <f t="shared" si="81"/>
        <v>-1.0093233167616513</v>
      </c>
      <c r="CB141" s="278">
        <f t="shared" si="82"/>
        <v>0</v>
      </c>
      <c r="CC141" s="278">
        <f t="shared" si="83"/>
        <v>0</v>
      </c>
      <c r="CD141" s="278">
        <f t="shared" si="84"/>
        <v>0</v>
      </c>
      <c r="CE141" s="293">
        <f t="shared" si="85"/>
        <v>0</v>
      </c>
      <c r="CF141" s="293">
        <f t="shared" si="86"/>
        <v>0</v>
      </c>
      <c r="CG141" s="293">
        <f t="shared" si="87"/>
        <v>0</v>
      </c>
      <c r="CH141" s="278">
        <f t="shared" si="88"/>
        <v>0</v>
      </c>
      <c r="CI141" s="223"/>
      <c r="CJ141" s="1092"/>
    </row>
    <row r="142" spans="2:88" ht="17.5">
      <c r="B142" s="223">
        <f>IFERROR(VLOOKUP('C-sidumine'!Z53,'C-taust'!$C$95:$E$96, 3,FALSE)*$E$81,0)</f>
        <v>0.75</v>
      </c>
      <c r="C142" s="223">
        <f>'C-sidumine'!D53</f>
        <v>0</v>
      </c>
      <c r="D142" s="1097">
        <f t="shared" si="16"/>
        <v>4.6020519999999996</v>
      </c>
      <c r="E142" s="223">
        <f t="shared" si="17"/>
        <v>61.141547999999993</v>
      </c>
      <c r="F142" s="278">
        <f>'C-taust'!AB60</f>
        <v>0</v>
      </c>
      <c r="G142" s="278">
        <f t="shared" si="90"/>
        <v>0</v>
      </c>
      <c r="H142" s="278">
        <f t="shared" si="91"/>
        <v>0</v>
      </c>
      <c r="I142" s="293">
        <f t="shared" si="92"/>
        <v>-0.53855038617842876</v>
      </c>
      <c r="J142" s="293">
        <f t="shared" si="39"/>
        <v>-1.3724348550998668</v>
      </c>
      <c r="K142" s="293">
        <f t="shared" si="93"/>
        <v>-0.92422195305459387</v>
      </c>
      <c r="L142" s="278">
        <f t="shared" si="41"/>
        <v>0</v>
      </c>
      <c r="M142" s="278">
        <f t="shared" si="42"/>
        <v>0</v>
      </c>
      <c r="N142" s="278">
        <f t="shared" si="43"/>
        <v>0</v>
      </c>
      <c r="O142" s="293">
        <f t="shared" si="44"/>
        <v>0</v>
      </c>
      <c r="P142" s="293">
        <f t="shared" si="45"/>
        <v>0</v>
      </c>
      <c r="Q142" s="293">
        <f t="shared" si="46"/>
        <v>0</v>
      </c>
      <c r="R142" s="1104">
        <f t="shared" si="47"/>
        <v>0</v>
      </c>
      <c r="S142" s="223"/>
      <c r="T142" s="223">
        <f>IFERROR(VLOOKUP('C-sidumine'!Z53,'C-taust'!$C$95:$E$96, 3,FALSE)*$E$82,0)</f>
        <v>0.96</v>
      </c>
      <c r="U142" s="305">
        <f t="shared" si="18"/>
        <v>4.6020519999999996</v>
      </c>
      <c r="V142" s="293">
        <f t="shared" si="19"/>
        <v>61.141547999999993</v>
      </c>
      <c r="W142" s="278">
        <f t="shared" si="94"/>
        <v>0</v>
      </c>
      <c r="X142" s="278">
        <f t="shared" si="95"/>
        <v>0</v>
      </c>
      <c r="Y142" s="278">
        <f t="shared" si="96"/>
        <v>0</v>
      </c>
      <c r="Z142" s="293">
        <f t="shared" si="48"/>
        <v>-0.68934449430838873</v>
      </c>
      <c r="AA142" s="293">
        <f t="shared" si="49"/>
        <v>-1.7567166145278295</v>
      </c>
      <c r="AB142" s="293">
        <f t="shared" si="89"/>
        <v>-1.1830040999098801</v>
      </c>
      <c r="AC142" s="278">
        <f t="shared" si="50"/>
        <v>0</v>
      </c>
      <c r="AD142" s="278">
        <f t="shared" si="51"/>
        <v>0</v>
      </c>
      <c r="AE142" s="278">
        <f t="shared" si="52"/>
        <v>0</v>
      </c>
      <c r="AF142" s="293">
        <f t="shared" si="53"/>
        <v>0</v>
      </c>
      <c r="AG142" s="293">
        <f t="shared" si="54"/>
        <v>0</v>
      </c>
      <c r="AH142" s="293">
        <f t="shared" si="55"/>
        <v>0</v>
      </c>
      <c r="AI142" s="1104">
        <f t="shared" si="56"/>
        <v>0</v>
      </c>
      <c r="AJ142" s="223"/>
      <c r="AK142" s="223">
        <f>IFERROR(VLOOKUP('C-sidumine'!Z53,'C-taust'!$C$95:$E$96, 3,FALSE)*$E$83,0)</f>
        <v>1</v>
      </c>
      <c r="AL142" s="305">
        <f t="shared" si="57"/>
        <v>4.5655329999999994</v>
      </c>
      <c r="AM142" s="293">
        <f t="shared" si="58"/>
        <v>60.656366999999996</v>
      </c>
      <c r="AN142" s="278">
        <f t="shared" si="97"/>
        <v>0</v>
      </c>
      <c r="AO142" s="278">
        <f t="shared" si="98"/>
        <v>0</v>
      </c>
      <c r="AP142" s="278">
        <f t="shared" si="99"/>
        <v>0</v>
      </c>
      <c r="AQ142" s="293">
        <f t="shared" si="59"/>
        <v>-0.71236905051930755</v>
      </c>
      <c r="AR142" s="293">
        <f t="shared" si="60"/>
        <v>-1.815392096484687</v>
      </c>
      <c r="AS142" s="293">
        <f t="shared" si="61"/>
        <v>-1.2225172092782954</v>
      </c>
      <c r="AT142" s="278">
        <f t="shared" si="62"/>
        <v>0</v>
      </c>
      <c r="AU142" s="278">
        <f t="shared" si="63"/>
        <v>0</v>
      </c>
      <c r="AV142" s="278">
        <f t="shared" si="64"/>
        <v>0</v>
      </c>
      <c r="AW142" s="293">
        <f t="shared" si="65"/>
        <v>0</v>
      </c>
      <c r="AX142" s="293">
        <f t="shared" si="66"/>
        <v>0</v>
      </c>
      <c r="AY142" s="293">
        <f t="shared" si="67"/>
        <v>0</v>
      </c>
      <c r="AZ142" s="1104">
        <f t="shared" si="68"/>
        <v>0</v>
      </c>
      <c r="BA142" s="223"/>
      <c r="BB142" s="223">
        <f>IFERROR(VLOOKUP('C-sidumine'!Z53,'C-taust'!$C$95:$E$96, 3,FALSE)*$E$84,0)</f>
        <v>0.98</v>
      </c>
      <c r="BC142" s="305">
        <f t="shared" si="26"/>
        <v>4.4026780000000008</v>
      </c>
      <c r="BD142" s="293">
        <f t="shared" si="27"/>
        <v>58.492722000000008</v>
      </c>
      <c r="BE142" s="278">
        <f t="shared" si="100"/>
        <v>0</v>
      </c>
      <c r="BF142" s="278">
        <f t="shared" si="101"/>
        <v>0</v>
      </c>
      <c r="BG142" s="278">
        <f t="shared" si="102"/>
        <v>0</v>
      </c>
      <c r="BH142" s="293">
        <f t="shared" si="69"/>
        <v>-0.67321929677656478</v>
      </c>
      <c r="BI142" s="293">
        <f t="shared" si="70"/>
        <v>-1.715623369204794</v>
      </c>
      <c r="BJ142" s="293">
        <f t="shared" si="71"/>
        <v>-1.1553311802746209</v>
      </c>
      <c r="BK142" s="278">
        <f t="shared" si="72"/>
        <v>0</v>
      </c>
      <c r="BL142" s="278">
        <f t="shared" si="73"/>
        <v>0</v>
      </c>
      <c r="BM142" s="278">
        <f t="shared" si="74"/>
        <v>0</v>
      </c>
      <c r="BN142" s="293">
        <f t="shared" si="75"/>
        <v>0</v>
      </c>
      <c r="BO142" s="293">
        <f t="shared" si="76"/>
        <v>0</v>
      </c>
      <c r="BP142" s="293">
        <f t="shared" si="77"/>
        <v>0</v>
      </c>
      <c r="BQ142" s="278">
        <f t="shared" si="78"/>
        <v>0</v>
      </c>
      <c r="BR142" s="223"/>
      <c r="BS142" s="1091">
        <f>IFERROR(VLOOKUP('C-sidumine'!Z53,'C-taust'!$C$95:$E$96, 3,FALSE)*$E$85,0)</f>
        <v>0.95</v>
      </c>
      <c r="BT142" s="305">
        <f t="shared" si="31"/>
        <v>3.9677400000000005</v>
      </c>
      <c r="BU142" s="293">
        <f t="shared" si="32"/>
        <v>52.714260000000003</v>
      </c>
      <c r="BV142" s="278">
        <f t="shared" si="103"/>
        <v>0</v>
      </c>
      <c r="BW142" s="278">
        <f t="shared" si="104"/>
        <v>0</v>
      </c>
      <c r="BX142" s="278">
        <f t="shared" si="105"/>
        <v>0</v>
      </c>
      <c r="BY142" s="293">
        <f t="shared" si="79"/>
        <v>-0.58813952668442093</v>
      </c>
      <c r="BZ142" s="293">
        <f t="shared" si="80"/>
        <v>-1.4988071809054597</v>
      </c>
      <c r="CA142" s="293">
        <f t="shared" si="81"/>
        <v>-1.0093233167616513</v>
      </c>
      <c r="CB142" s="278">
        <f t="shared" si="82"/>
        <v>0</v>
      </c>
      <c r="CC142" s="278">
        <f t="shared" si="83"/>
        <v>0</v>
      </c>
      <c r="CD142" s="278">
        <f t="shared" si="84"/>
        <v>0</v>
      </c>
      <c r="CE142" s="293">
        <f t="shared" si="85"/>
        <v>0</v>
      </c>
      <c r="CF142" s="293">
        <f t="shared" si="86"/>
        <v>0</v>
      </c>
      <c r="CG142" s="293">
        <f t="shared" si="87"/>
        <v>0</v>
      </c>
      <c r="CH142" s="278">
        <f t="shared" si="88"/>
        <v>0</v>
      </c>
      <c r="CI142" s="223"/>
      <c r="CJ142" s="1092"/>
    </row>
    <row r="143" spans="2:88" ht="17.5">
      <c r="B143" s="223">
        <f>IFERROR(VLOOKUP('C-sidumine'!Z54,'C-taust'!$C$95:$E$96, 3,FALSE)*$E$81,0)</f>
        <v>0.75</v>
      </c>
      <c r="C143" s="223">
        <f>'C-sidumine'!D54</f>
        <v>0</v>
      </c>
      <c r="D143" s="1089">
        <f>128*0.07</f>
        <v>8.9600000000000009</v>
      </c>
      <c r="E143" s="1089">
        <f>128*0.93</f>
        <v>119.04</v>
      </c>
      <c r="F143" s="278">
        <f>'C-taust'!AB61</f>
        <v>0</v>
      </c>
      <c r="G143" s="278">
        <f t="shared" si="90"/>
        <v>0</v>
      </c>
      <c r="H143" s="278">
        <f t="shared" si="91"/>
        <v>0</v>
      </c>
      <c r="I143" s="293">
        <f t="shared" si="92"/>
        <v>-1.0485347536617846</v>
      </c>
      <c r="J143" s="293">
        <f t="shared" si="39"/>
        <v>-2.6720724367509994</v>
      </c>
      <c r="K143" s="293">
        <f t="shared" si="93"/>
        <v>-1.7994209320905465</v>
      </c>
      <c r="L143" s="278">
        <f t="shared" si="41"/>
        <v>0</v>
      </c>
      <c r="M143" s="278">
        <f t="shared" si="42"/>
        <v>0</v>
      </c>
      <c r="N143" s="278">
        <f t="shared" si="43"/>
        <v>0</v>
      </c>
      <c r="O143" s="293">
        <f t="shared" si="44"/>
        <v>0</v>
      </c>
      <c r="P143" s="293">
        <f t="shared" si="45"/>
        <v>0</v>
      </c>
      <c r="Q143" s="293">
        <f t="shared" si="46"/>
        <v>0</v>
      </c>
      <c r="R143" s="1104">
        <f t="shared" si="47"/>
        <v>0</v>
      </c>
      <c r="S143" s="223"/>
      <c r="T143" s="223">
        <f>IFERROR(VLOOKUP('C-sidumine'!Z54,'C-taust'!$C$95:$E$96, 3,FALSE)*$E$82,0)</f>
        <v>0.96</v>
      </c>
      <c r="U143" s="1089">
        <f>128*0.07</f>
        <v>8.9600000000000009</v>
      </c>
      <c r="V143" s="1089">
        <f>128*0.93</f>
        <v>119.04</v>
      </c>
      <c r="W143" s="278">
        <f t="shared" si="94"/>
        <v>0</v>
      </c>
      <c r="X143" s="278">
        <f t="shared" si="95"/>
        <v>0</v>
      </c>
      <c r="Y143" s="278">
        <f t="shared" si="96"/>
        <v>0</v>
      </c>
      <c r="Z143" s="293">
        <f t="shared" si="48"/>
        <v>-1.3421244846870841</v>
      </c>
      <c r="AA143" s="293">
        <f t="shared" si="49"/>
        <v>-3.420252719041279</v>
      </c>
      <c r="AB143" s="293">
        <f t="shared" si="89"/>
        <v>-2.3032587930758996</v>
      </c>
      <c r="AC143" s="278">
        <f t="shared" si="50"/>
        <v>0</v>
      </c>
      <c r="AD143" s="278">
        <f t="shared" si="51"/>
        <v>0</v>
      </c>
      <c r="AE143" s="278">
        <f t="shared" si="52"/>
        <v>0</v>
      </c>
      <c r="AF143" s="293">
        <f t="shared" si="53"/>
        <v>0</v>
      </c>
      <c r="AG143" s="293">
        <f t="shared" si="54"/>
        <v>0</v>
      </c>
      <c r="AH143" s="293">
        <f t="shared" si="55"/>
        <v>0</v>
      </c>
      <c r="AI143" s="1104">
        <f t="shared" si="56"/>
        <v>0</v>
      </c>
      <c r="AJ143" s="223"/>
      <c r="AK143" s="223">
        <f>IFERROR(VLOOKUP('C-sidumine'!Z54,'C-taust'!$C$95:$E$96, 3,FALSE)*$E$83,0)</f>
        <v>1</v>
      </c>
      <c r="AL143" s="1089">
        <f>128*0.07</f>
        <v>8.9600000000000009</v>
      </c>
      <c r="AM143" s="1089">
        <f>128*0.93</f>
        <v>119.04</v>
      </c>
      <c r="AN143" s="278">
        <f t="shared" si="97"/>
        <v>0</v>
      </c>
      <c r="AO143" s="278">
        <f t="shared" si="98"/>
        <v>0</v>
      </c>
      <c r="AP143" s="278">
        <f t="shared" si="99"/>
        <v>0</v>
      </c>
      <c r="AQ143" s="293">
        <f t="shared" si="59"/>
        <v>-1.3980463382157127</v>
      </c>
      <c r="AR143" s="293">
        <f t="shared" si="60"/>
        <v>-3.5627632490013323</v>
      </c>
      <c r="AS143" s="293">
        <f t="shared" si="61"/>
        <v>-2.3992279094540621</v>
      </c>
      <c r="AT143" s="278">
        <f t="shared" si="62"/>
        <v>0</v>
      </c>
      <c r="AU143" s="278">
        <f t="shared" si="63"/>
        <v>0</v>
      </c>
      <c r="AV143" s="278">
        <f t="shared" si="64"/>
        <v>0</v>
      </c>
      <c r="AW143" s="293">
        <f t="shared" si="65"/>
        <v>0</v>
      </c>
      <c r="AX143" s="293">
        <f t="shared" si="66"/>
        <v>0</v>
      </c>
      <c r="AY143" s="293">
        <f t="shared" si="67"/>
        <v>0</v>
      </c>
      <c r="AZ143" s="1104">
        <f t="shared" si="68"/>
        <v>0</v>
      </c>
      <c r="BA143" s="223"/>
      <c r="BB143" s="223">
        <f>IFERROR(VLOOKUP('C-sidumine'!Z54,'C-taust'!$C$95:$E$96, 3,FALSE)*$E$84,0)</f>
        <v>0.98</v>
      </c>
      <c r="BC143" s="1089">
        <f>128*0.07</f>
        <v>8.9600000000000009</v>
      </c>
      <c r="BD143" s="1089">
        <f>128*0.93</f>
        <v>119.04</v>
      </c>
      <c r="BE143" s="278">
        <f t="shared" si="100"/>
        <v>0</v>
      </c>
      <c r="BF143" s="278">
        <f t="shared" si="101"/>
        <v>0</v>
      </c>
      <c r="BG143" s="278">
        <f t="shared" si="102"/>
        <v>0</v>
      </c>
      <c r="BH143" s="293">
        <f t="shared" si="69"/>
        <v>-1.3700854114513985</v>
      </c>
      <c r="BI143" s="293">
        <f t="shared" si="70"/>
        <v>-3.4915079840213057</v>
      </c>
      <c r="BJ143" s="293">
        <f t="shared" si="71"/>
        <v>-2.3512433512649809</v>
      </c>
      <c r="BK143" s="278">
        <f t="shared" si="72"/>
        <v>0</v>
      </c>
      <c r="BL143" s="278">
        <f t="shared" si="73"/>
        <v>0</v>
      </c>
      <c r="BM143" s="278">
        <f t="shared" si="74"/>
        <v>0</v>
      </c>
      <c r="BN143" s="293">
        <f t="shared" si="75"/>
        <v>0</v>
      </c>
      <c r="BO143" s="293">
        <f t="shared" si="76"/>
        <v>0</v>
      </c>
      <c r="BP143" s="293">
        <f t="shared" si="77"/>
        <v>0</v>
      </c>
      <c r="BQ143" s="278">
        <f t="shared" si="78"/>
        <v>0</v>
      </c>
      <c r="BR143" s="223"/>
      <c r="BS143" s="1091">
        <f>IFERROR(VLOOKUP('C-sidumine'!Z54,'C-taust'!$C$95:$E$96, 3,FALSE)*$E$85,0)</f>
        <v>0.95</v>
      </c>
      <c r="BT143" s="1089">
        <f>128*0.07</f>
        <v>8.9600000000000009</v>
      </c>
      <c r="BU143" s="1089">
        <f>128*0.93</f>
        <v>119.04</v>
      </c>
      <c r="BV143" s="278">
        <f t="shared" si="103"/>
        <v>0</v>
      </c>
      <c r="BW143" s="278">
        <f t="shared" si="104"/>
        <v>0</v>
      </c>
      <c r="BX143" s="278">
        <f t="shared" si="105"/>
        <v>0</v>
      </c>
      <c r="BY143" s="293">
        <f t="shared" si="79"/>
        <v>-1.3281440213049269</v>
      </c>
      <c r="BZ143" s="293">
        <f t="shared" si="80"/>
        <v>-3.3846250865512655</v>
      </c>
      <c r="CA143" s="293">
        <f t="shared" si="81"/>
        <v>-2.2792665139813586</v>
      </c>
      <c r="CB143" s="278">
        <f t="shared" si="82"/>
        <v>0</v>
      </c>
      <c r="CC143" s="278">
        <f t="shared" si="83"/>
        <v>0</v>
      </c>
      <c r="CD143" s="278">
        <f t="shared" si="84"/>
        <v>0</v>
      </c>
      <c r="CE143" s="293">
        <f t="shared" si="85"/>
        <v>0</v>
      </c>
      <c r="CF143" s="293">
        <f t="shared" si="86"/>
        <v>0</v>
      </c>
      <c r="CG143" s="293">
        <f t="shared" si="87"/>
        <v>0</v>
      </c>
      <c r="CH143" s="278">
        <f t="shared" si="88"/>
        <v>0</v>
      </c>
      <c r="CI143" s="223"/>
      <c r="CJ143" s="1092"/>
    </row>
    <row r="144" spans="2:88" ht="17.5">
      <c r="B144" s="223">
        <f>IFERROR(VLOOKUP('C-sidumine'!Z55,'C-taust'!$C$95:$E$96, 3,FALSE)*$E$81,0)</f>
        <v>0.75</v>
      </c>
      <c r="C144" s="223">
        <f>'C-sidumine'!D55</f>
        <v>0</v>
      </c>
      <c r="D144" s="1089">
        <f t="shared" ref="D144:D145" si="106">128*0.07</f>
        <v>8.9600000000000009</v>
      </c>
      <c r="E144" s="1089">
        <f t="shared" ref="E144:E145" si="107">128*0.93</f>
        <v>119.04</v>
      </c>
      <c r="F144" s="278">
        <f>'C-taust'!AB62</f>
        <v>0</v>
      </c>
      <c r="G144" s="278">
        <f t="shared" si="90"/>
        <v>0</v>
      </c>
      <c r="H144" s="278">
        <f t="shared" si="91"/>
        <v>0</v>
      </c>
      <c r="I144" s="293">
        <f t="shared" si="92"/>
        <v>-1.0485347536617846</v>
      </c>
      <c r="J144" s="293">
        <f t="shared" si="39"/>
        <v>-2.6720724367509994</v>
      </c>
      <c r="K144" s="293">
        <f t="shared" si="93"/>
        <v>-1.7994209320905465</v>
      </c>
      <c r="L144" s="278">
        <f t="shared" si="41"/>
        <v>0</v>
      </c>
      <c r="M144" s="278">
        <f t="shared" si="42"/>
        <v>0</v>
      </c>
      <c r="N144" s="278">
        <f t="shared" si="43"/>
        <v>0</v>
      </c>
      <c r="O144" s="293">
        <f t="shared" si="44"/>
        <v>0</v>
      </c>
      <c r="P144" s="293">
        <f t="shared" si="45"/>
        <v>0</v>
      </c>
      <c r="Q144" s="293">
        <f t="shared" si="46"/>
        <v>0</v>
      </c>
      <c r="R144" s="1104">
        <f t="shared" si="47"/>
        <v>0</v>
      </c>
      <c r="S144" s="223"/>
      <c r="T144" s="223">
        <f>IFERROR(VLOOKUP('C-sidumine'!Z55,'C-taust'!$C$95:$E$96, 3,FALSE)*$E$82,0)</f>
        <v>0.96</v>
      </c>
      <c r="U144" s="1089">
        <f t="shared" ref="U144:U145" si="108">128*0.07</f>
        <v>8.9600000000000009</v>
      </c>
      <c r="V144" s="1089">
        <f t="shared" ref="V144:V145" si="109">128*0.93</f>
        <v>119.04</v>
      </c>
      <c r="W144" s="278">
        <f t="shared" si="94"/>
        <v>0</v>
      </c>
      <c r="X144" s="278">
        <f t="shared" si="95"/>
        <v>0</v>
      </c>
      <c r="Y144" s="278">
        <f t="shared" si="96"/>
        <v>0</v>
      </c>
      <c r="Z144" s="293">
        <f t="shared" si="48"/>
        <v>-1.3421244846870841</v>
      </c>
      <c r="AA144" s="293">
        <f t="shared" si="49"/>
        <v>-3.420252719041279</v>
      </c>
      <c r="AB144" s="293">
        <f t="shared" si="89"/>
        <v>-2.3032587930758996</v>
      </c>
      <c r="AC144" s="278">
        <f t="shared" si="50"/>
        <v>0</v>
      </c>
      <c r="AD144" s="278">
        <f t="shared" si="51"/>
        <v>0</v>
      </c>
      <c r="AE144" s="278">
        <f t="shared" si="52"/>
        <v>0</v>
      </c>
      <c r="AF144" s="293">
        <f t="shared" si="53"/>
        <v>0</v>
      </c>
      <c r="AG144" s="293">
        <f t="shared" si="54"/>
        <v>0</v>
      </c>
      <c r="AH144" s="293">
        <f t="shared" si="55"/>
        <v>0</v>
      </c>
      <c r="AI144" s="1104">
        <f t="shared" si="56"/>
        <v>0</v>
      </c>
      <c r="AJ144" s="223"/>
      <c r="AK144" s="223">
        <f>IFERROR(VLOOKUP('C-sidumine'!Z55,'C-taust'!$C$95:$E$96, 3,FALSE)*$E$83,0)</f>
        <v>1</v>
      </c>
      <c r="AL144" s="1089">
        <f t="shared" ref="AL144:AL145" si="110">128*0.07</f>
        <v>8.9600000000000009</v>
      </c>
      <c r="AM144" s="1089">
        <f t="shared" ref="AM144:AM145" si="111">128*0.93</f>
        <v>119.04</v>
      </c>
      <c r="AN144" s="278">
        <f t="shared" si="97"/>
        <v>0</v>
      </c>
      <c r="AO144" s="278">
        <f t="shared" si="98"/>
        <v>0</v>
      </c>
      <c r="AP144" s="278">
        <f t="shared" si="99"/>
        <v>0</v>
      </c>
      <c r="AQ144" s="293">
        <f t="shared" si="59"/>
        <v>-1.3980463382157127</v>
      </c>
      <c r="AR144" s="293">
        <f t="shared" si="60"/>
        <v>-3.5627632490013323</v>
      </c>
      <c r="AS144" s="293">
        <f t="shared" si="61"/>
        <v>-2.3992279094540621</v>
      </c>
      <c r="AT144" s="278">
        <f t="shared" si="62"/>
        <v>0</v>
      </c>
      <c r="AU144" s="278">
        <f t="shared" si="63"/>
        <v>0</v>
      </c>
      <c r="AV144" s="278">
        <f t="shared" si="64"/>
        <v>0</v>
      </c>
      <c r="AW144" s="293">
        <f t="shared" si="65"/>
        <v>0</v>
      </c>
      <c r="AX144" s="293">
        <f t="shared" si="66"/>
        <v>0</v>
      </c>
      <c r="AY144" s="293">
        <f t="shared" si="67"/>
        <v>0</v>
      </c>
      <c r="AZ144" s="1104">
        <f t="shared" si="68"/>
        <v>0</v>
      </c>
      <c r="BA144" s="223"/>
      <c r="BB144" s="223">
        <f>IFERROR(VLOOKUP('C-sidumine'!Z55,'C-taust'!$C$95:$E$96, 3,FALSE)*$E$84,0)</f>
        <v>0.98</v>
      </c>
      <c r="BC144" s="1089">
        <f t="shared" ref="BC144:BC145" si="112">128*0.07</f>
        <v>8.9600000000000009</v>
      </c>
      <c r="BD144" s="1089">
        <f t="shared" ref="BD144:BD145" si="113">128*0.93</f>
        <v>119.04</v>
      </c>
      <c r="BE144" s="278">
        <f t="shared" si="100"/>
        <v>0</v>
      </c>
      <c r="BF144" s="278">
        <f t="shared" si="101"/>
        <v>0</v>
      </c>
      <c r="BG144" s="278">
        <f t="shared" si="102"/>
        <v>0</v>
      </c>
      <c r="BH144" s="293">
        <f t="shared" si="69"/>
        <v>-1.3700854114513985</v>
      </c>
      <c r="BI144" s="293">
        <f t="shared" si="70"/>
        <v>-3.4915079840213057</v>
      </c>
      <c r="BJ144" s="293">
        <f t="shared" si="71"/>
        <v>-2.3512433512649809</v>
      </c>
      <c r="BK144" s="278">
        <f t="shared" si="72"/>
        <v>0</v>
      </c>
      <c r="BL144" s="278">
        <f t="shared" si="73"/>
        <v>0</v>
      </c>
      <c r="BM144" s="278">
        <f>BG144/($E$98*$E$91)</f>
        <v>0</v>
      </c>
      <c r="BN144" s="293">
        <f>$E$77*BB144*(BE144)</f>
        <v>0</v>
      </c>
      <c r="BO144" s="293">
        <f>$E$78*$BB144*(BF144)</f>
        <v>0</v>
      </c>
      <c r="BP144" s="293">
        <f>$E$79*BB144*(BG144)</f>
        <v>0</v>
      </c>
      <c r="BQ144" s="278">
        <f>SUM(BN144:BP144) /($E$99*$E$91)</f>
        <v>0</v>
      </c>
      <c r="BR144" s="223"/>
      <c r="BS144" s="1091">
        <f>IFERROR(VLOOKUP('C-sidumine'!Z55,'C-taust'!$C$95:$E$96, 3,FALSE)*$E$85,0)</f>
        <v>0.95</v>
      </c>
      <c r="BT144" s="1089">
        <f t="shared" ref="BT144:BT145" si="114">128*0.07</f>
        <v>8.9600000000000009</v>
      </c>
      <c r="BU144" s="1089">
        <f t="shared" ref="BU144:BU145" si="115">128*0.93</f>
        <v>119.04</v>
      </c>
      <c r="BV144" s="278">
        <f t="shared" si="103"/>
        <v>0</v>
      </c>
      <c r="BW144" s="278">
        <f t="shared" si="104"/>
        <v>0</v>
      </c>
      <c r="BX144" s="278">
        <f>BR144/($E$98*$E$91)</f>
        <v>0</v>
      </c>
      <c r="BY144" s="293">
        <f t="shared" si="79"/>
        <v>-1.3281440213049269</v>
      </c>
      <c r="BZ144" s="293">
        <f t="shared" si="80"/>
        <v>-3.3846250865512655</v>
      </c>
      <c r="CA144" s="293">
        <f t="shared" si="81"/>
        <v>-2.2792665139813586</v>
      </c>
      <c r="CB144" s="278">
        <f t="shared" si="82"/>
        <v>0</v>
      </c>
      <c r="CC144" s="278">
        <f t="shared" si="83"/>
        <v>0</v>
      </c>
      <c r="CD144" s="278">
        <f t="shared" si="84"/>
        <v>0</v>
      </c>
      <c r="CE144" s="293">
        <f t="shared" si="85"/>
        <v>0</v>
      </c>
      <c r="CF144" s="293">
        <f t="shared" si="86"/>
        <v>0</v>
      </c>
      <c r="CG144" s="293">
        <f t="shared" si="87"/>
        <v>0</v>
      </c>
      <c r="CH144" s="278">
        <f t="shared" si="88"/>
        <v>0</v>
      </c>
      <c r="CI144" s="223"/>
      <c r="CJ144" s="1092"/>
    </row>
    <row r="145" spans="2:88" ht="18" thickBot="1">
      <c r="B145" s="1103">
        <f>IFERROR(VLOOKUP('C-sidumine'!Z56,'C-taust'!$C$95:$E$96, 3,FALSE)*$E$81,0)</f>
        <v>0.75</v>
      </c>
      <c r="C145" s="1103">
        <f>'C-sidumine'!D56</f>
        <v>0</v>
      </c>
      <c r="D145" s="1106">
        <f t="shared" si="106"/>
        <v>8.9600000000000009</v>
      </c>
      <c r="E145" s="1106">
        <f t="shared" si="107"/>
        <v>119.04</v>
      </c>
      <c r="F145" s="1101">
        <f>'C-taust'!AB63</f>
        <v>0</v>
      </c>
      <c r="G145" s="1101">
        <f>AC63</f>
        <v>0</v>
      </c>
      <c r="H145" s="1101">
        <f>AD63</f>
        <v>0</v>
      </c>
      <c r="I145" s="1102">
        <f>($E$77*$B145)*(($E$98*$E$88*$D145)-$F145)/(($E$99-$E$98)*$E$88)</f>
        <v>-1.0485347536617846</v>
      </c>
      <c r="J145" s="1102">
        <f>($E$78*$B145)*(($E$98*$E$88*$D145)-$G145)/(($E$99-$E$98)*$E$88)</f>
        <v>-2.6720724367509994</v>
      </c>
      <c r="K145" s="1102">
        <f>($E$79*$B145)*(($E$98*$E$88*$D145)-$H145)/(($E$99-$E$98)*$E$88)</f>
        <v>-1.7994209320905465</v>
      </c>
      <c r="L145" s="1101">
        <f>F145/($E$98*$E$88)</f>
        <v>0</v>
      </c>
      <c r="M145" s="1101">
        <f>G145/($E$98*$E$88)</f>
        <v>0</v>
      </c>
      <c r="N145" s="1101">
        <f>H145/($E$98*$E$88)</f>
        <v>0</v>
      </c>
      <c r="O145" s="1102">
        <f>$E$77*$B145*(F145)</f>
        <v>0</v>
      </c>
      <c r="P145" s="1102">
        <f>$E$78*$B145*(G145)</f>
        <v>0</v>
      </c>
      <c r="Q145" s="1102">
        <f>$E$79*$B145*(H145)</f>
        <v>0</v>
      </c>
      <c r="R145" s="1105">
        <f>SUM(O145:Q145) /($E$99*$E$88)</f>
        <v>0</v>
      </c>
      <c r="S145" s="1103"/>
      <c r="T145" s="1103">
        <f>IFERROR(VLOOKUP('C-sidumine'!Z56,'C-taust'!$C$95:$E$96, 3,FALSE)*$E$82,0)</f>
        <v>0.96</v>
      </c>
      <c r="U145" s="1106">
        <f t="shared" si="108"/>
        <v>8.9600000000000009</v>
      </c>
      <c r="V145" s="1106">
        <f t="shared" si="109"/>
        <v>119.04</v>
      </c>
      <c r="W145" s="1101">
        <f>AB63</f>
        <v>0</v>
      </c>
      <c r="X145" s="1101">
        <f>AC63</f>
        <v>0</v>
      </c>
      <c r="Y145" s="1101">
        <f>AD63</f>
        <v>0</v>
      </c>
      <c r="Z145" s="1102">
        <f>($E$77*T145)*(($E$98*$E$89*U145)-$W145)/(($E$99-$E$98)*$E$89)</f>
        <v>-1.3421244846870841</v>
      </c>
      <c r="AA145" s="1102">
        <f>($E$78*T145)*(($E$98*$E$89*U145)-$X145)/(($E$99-$E$98)*$E$89)</f>
        <v>-3.420252719041279</v>
      </c>
      <c r="AB145" s="1102">
        <f>($E$79*T145)*(($E$98*$E$89*U145)-$Y145)/(($E$99-$E$98)*$E$89)</f>
        <v>-2.3032587930758996</v>
      </c>
      <c r="AC145" s="1101">
        <f>W145/($E$98*$E$89)</f>
        <v>0</v>
      </c>
      <c r="AD145" s="1101">
        <f>X145/($E$98*$E$89)</f>
        <v>0</v>
      </c>
      <c r="AE145" s="1101">
        <f>Y145/($E$98*$E$89)</f>
        <v>0</v>
      </c>
      <c r="AF145" s="1102">
        <f>$E$77*$T145*(W145)</f>
        <v>0</v>
      </c>
      <c r="AG145" s="1102">
        <f>$E$78*$T145*(X145)</f>
        <v>0</v>
      </c>
      <c r="AH145" s="1102">
        <f>$E$79*$T145*(Y145)</f>
        <v>0</v>
      </c>
      <c r="AI145" s="1105">
        <f>SUM(AF145:AH145) /($E$99*$E$89)</f>
        <v>0</v>
      </c>
      <c r="AJ145" s="1103"/>
      <c r="AK145" s="1103">
        <f>IFERROR(VLOOKUP('C-sidumine'!Z56,'C-taust'!$C$95:$E$96, 3,FALSE)*$E$83,0)</f>
        <v>1</v>
      </c>
      <c r="AL145" s="1106">
        <f t="shared" si="110"/>
        <v>8.9600000000000009</v>
      </c>
      <c r="AM145" s="1106">
        <f t="shared" si="111"/>
        <v>119.04</v>
      </c>
      <c r="AN145" s="1101">
        <f>$AB63</f>
        <v>0</v>
      </c>
      <c r="AO145" s="1101">
        <f>$AC63</f>
        <v>0</v>
      </c>
      <c r="AP145" s="1101">
        <f>$AD63</f>
        <v>0</v>
      </c>
      <c r="AQ145" s="293">
        <f t="shared" si="59"/>
        <v>-1.3980463382157127</v>
      </c>
      <c r="AR145" s="293">
        <f t="shared" si="60"/>
        <v>-3.5627632490013323</v>
      </c>
      <c r="AS145" s="293">
        <f t="shared" si="61"/>
        <v>-2.3992279094540621</v>
      </c>
      <c r="AT145" s="290">
        <f>AN145/($E$98*$E$90)</f>
        <v>0</v>
      </c>
      <c r="AU145" s="290">
        <f>AO145/($E$98*$E$90)</f>
        <v>0</v>
      </c>
      <c r="AV145" s="290">
        <f>AP145/($E$98*$E$90)</f>
        <v>0</v>
      </c>
      <c r="AW145" s="296">
        <f>$E$77*AK145*(AN145)</f>
        <v>0</v>
      </c>
      <c r="AX145" s="296">
        <f>$E$78*$AK145*(AO145)</f>
        <v>0</v>
      </c>
      <c r="AY145" s="296">
        <f>$E$79*AK145*(AP145)</f>
        <v>0</v>
      </c>
      <c r="AZ145" s="1105">
        <f>SUM(AW145:AY145) /($E$99*$E$89)</f>
        <v>0</v>
      </c>
      <c r="BA145" s="1103"/>
      <c r="BB145" s="1103">
        <f>IFERROR(VLOOKUP('C-sidumine'!Z56,'C-taust'!$C$95:$E$96, 3,FALSE)*$E$84,0)</f>
        <v>0.98</v>
      </c>
      <c r="BC145" s="1106">
        <f t="shared" si="112"/>
        <v>8.9600000000000009</v>
      </c>
      <c r="BD145" s="1106">
        <f t="shared" si="113"/>
        <v>119.04</v>
      </c>
      <c r="BE145" s="1101">
        <f>$AB63</f>
        <v>0</v>
      </c>
      <c r="BF145" s="1101">
        <f>$AC63</f>
        <v>0</v>
      </c>
      <c r="BG145" s="1101">
        <f>$AD63</f>
        <v>0</v>
      </c>
      <c r="BH145" s="293">
        <f t="shared" si="69"/>
        <v>-1.3700854114513985</v>
      </c>
      <c r="BI145" s="293">
        <f t="shared" si="70"/>
        <v>-3.4915079840213057</v>
      </c>
      <c r="BJ145" s="293">
        <f t="shared" si="71"/>
        <v>-2.3512433512649809</v>
      </c>
      <c r="BK145" s="1101">
        <f>BE145/($E$98*$E$91)</f>
        <v>0</v>
      </c>
      <c r="BL145" s="1101">
        <f>BF145/($E$98*$E$91)</f>
        <v>0</v>
      </c>
      <c r="BM145" s="1101">
        <f>BG145/($E$98*$E$91)</f>
        <v>0</v>
      </c>
      <c r="BN145" s="1102">
        <f>$E$77*BB145*(BE145)</f>
        <v>0</v>
      </c>
      <c r="BO145" s="1102">
        <f>$E$78*$BB145*(BF145)</f>
        <v>0</v>
      </c>
      <c r="BP145" s="1102">
        <f>$E$79*BB145*(BG145)</f>
        <v>0</v>
      </c>
      <c r="BQ145" s="1101">
        <f>SUM(BN145:BP145) /($E$99*$E$91)</f>
        <v>0</v>
      </c>
      <c r="BR145" s="1103"/>
      <c r="BS145" s="1093">
        <f>IFERROR(VLOOKUP('C-sidumine'!Z56,'C-taust'!$C$95:$E$96, 3,FALSE)*$E$85,0)</f>
        <v>0.95</v>
      </c>
      <c r="BT145" s="1106">
        <f t="shared" si="114"/>
        <v>8.9600000000000009</v>
      </c>
      <c r="BU145" s="1106">
        <f t="shared" si="115"/>
        <v>119.04</v>
      </c>
      <c r="BV145" s="1101">
        <f>$AB63</f>
        <v>0</v>
      </c>
      <c r="BW145" s="1101">
        <f>$AC63</f>
        <v>0</v>
      </c>
      <c r="BX145" s="1101">
        <f>BR145/($E$98*$E$91)</f>
        <v>0</v>
      </c>
      <c r="BY145" s="293">
        <f t="shared" si="79"/>
        <v>-1.3281440213049269</v>
      </c>
      <c r="BZ145" s="293">
        <f t="shared" si="80"/>
        <v>-3.3846250865512655</v>
      </c>
      <c r="CA145" s="293">
        <f t="shared" si="81"/>
        <v>-2.2792665139813586</v>
      </c>
      <c r="CB145" s="1101">
        <f>BV145/($E$98*$E$92)</f>
        <v>0</v>
      </c>
      <c r="CC145" s="1101">
        <f>BW145/($E$98*$E$92)</f>
        <v>0</v>
      </c>
      <c r="CD145" s="1101">
        <f>BX145/($E$98*$E$92)</f>
        <v>0</v>
      </c>
      <c r="CE145" s="1102">
        <f>$E$77*BS145*(BV145)</f>
        <v>0</v>
      </c>
      <c r="CF145" s="1102">
        <f>$E$78*$BS145*(BW145)</f>
        <v>0</v>
      </c>
      <c r="CG145" s="1102">
        <f>$E$79*BS145*(BX145)</f>
        <v>0</v>
      </c>
      <c r="CH145" s="1101">
        <f>SUM(CE145:CG145) /($E$99*$E$92)</f>
        <v>0</v>
      </c>
      <c r="CI145" s="1103"/>
      <c r="CJ145" s="1094"/>
    </row>
    <row r="146" spans="2:88" ht="20">
      <c r="B146" s="299"/>
      <c r="C146" s="299"/>
      <c r="D146" s="299"/>
      <c r="E146" s="299"/>
      <c r="F146" s="221"/>
      <c r="G146" s="221"/>
      <c r="H146" s="221"/>
      <c r="I146" s="221"/>
      <c r="J146" s="221"/>
      <c r="K146" s="221"/>
      <c r="L146" s="221"/>
      <c r="M146" s="221"/>
      <c r="N146" s="221"/>
      <c r="O146" s="221"/>
      <c r="P146" s="221"/>
      <c r="Q146" s="223"/>
      <c r="R146" s="223"/>
      <c r="S146" s="223"/>
      <c r="T146" s="223"/>
      <c r="U146" s="223"/>
      <c r="V146" s="223"/>
      <c r="W146" s="223"/>
      <c r="X146" s="223"/>
      <c r="Y146" s="223"/>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row>
    <row r="147" spans="2:88" ht="20">
      <c r="B147" s="299"/>
      <c r="C147" s="299"/>
      <c r="D147" s="299"/>
      <c r="E147" s="299"/>
      <c r="F147" s="221"/>
      <c r="G147" s="221"/>
      <c r="H147" s="221"/>
      <c r="I147" s="221"/>
      <c r="J147" s="221"/>
      <c r="K147" s="221"/>
      <c r="L147" s="221"/>
      <c r="M147" s="221"/>
      <c r="N147" s="221"/>
      <c r="O147" s="221"/>
      <c r="P147" s="221"/>
      <c r="Q147" s="223"/>
      <c r="R147" s="223"/>
      <c r="S147" s="223"/>
      <c r="T147" s="223"/>
      <c r="U147" s="223"/>
      <c r="V147" s="223"/>
      <c r="W147" s="223"/>
      <c r="X147" s="223"/>
      <c r="Y147" s="223"/>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row>
    <row r="148" spans="2:88" ht="20">
      <c r="B148" s="223"/>
      <c r="C148" s="221"/>
      <c r="D148" s="221"/>
      <c r="E148" s="221"/>
      <c r="F148" s="221"/>
      <c r="G148" s="221"/>
      <c r="H148" s="221"/>
      <c r="I148" s="221"/>
      <c r="J148" s="221"/>
      <c r="K148" s="221"/>
      <c r="L148" s="221"/>
      <c r="M148" s="221"/>
      <c r="N148" s="221"/>
      <c r="O148" s="221"/>
      <c r="P148" s="221"/>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row>
    <row r="149" spans="2:88" ht="20">
      <c r="B149" s="223"/>
      <c r="C149" s="221"/>
      <c r="D149" s="221"/>
      <c r="E149" s="221"/>
      <c r="F149" s="221"/>
      <c r="G149" s="221"/>
      <c r="H149" s="221"/>
      <c r="I149" s="221"/>
      <c r="J149" s="221"/>
      <c r="K149" s="221"/>
      <c r="L149" s="221"/>
      <c r="M149" s="221"/>
      <c r="N149" s="221"/>
      <c r="O149" s="221"/>
      <c r="P149" s="221"/>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row>
    <row r="150" spans="2:88" ht="17.5">
      <c r="B150" s="223"/>
      <c r="C150" s="223"/>
      <c r="D150" s="223"/>
      <c r="E150" s="223"/>
      <c r="F150" s="223"/>
      <c r="G150" s="223"/>
      <c r="H150" s="223"/>
      <c r="I150" s="223"/>
      <c r="J150" s="223"/>
      <c r="K150" s="223"/>
      <c r="L150" s="223"/>
      <c r="M150" s="223"/>
      <c r="N150" s="223"/>
      <c r="O150" s="223"/>
      <c r="P150" s="223"/>
      <c r="Q150" s="223"/>
      <c r="R150" s="223"/>
      <c r="S150" s="223"/>
      <c r="T150" s="223"/>
      <c r="U150" s="223"/>
      <c r="V150" s="223"/>
      <c r="W150" s="223"/>
      <c r="X150" s="223"/>
      <c r="Y150" s="223"/>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row>
    <row r="151" spans="2:88" ht="17.5">
      <c r="B151" s="223"/>
      <c r="C151" s="223"/>
      <c r="D151" s="223"/>
      <c r="E151" s="223"/>
      <c r="F151" s="223"/>
      <c r="G151" s="223"/>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row>
    <row r="152" spans="2:88" ht="17.5">
      <c r="B152" s="223"/>
      <c r="C152" s="223"/>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row>
    <row r="153" spans="2:88" ht="17.5">
      <c r="B153" s="223"/>
      <c r="C153" s="223"/>
      <c r="D153" s="223"/>
      <c r="E153" s="223"/>
      <c r="F153" s="223"/>
      <c r="G153" s="223"/>
      <c r="H153" s="223"/>
      <c r="I153" s="223"/>
      <c r="J153" s="223"/>
      <c r="K153" s="223"/>
      <c r="L153" s="223"/>
      <c r="M153" s="223"/>
      <c r="N153" s="223"/>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row>
    <row r="154" spans="2:88" ht="17.5">
      <c r="B154" s="223"/>
      <c r="C154" s="223"/>
      <c r="D154" s="223"/>
      <c r="E154" s="223"/>
      <c r="F154" s="223"/>
      <c r="G154" s="223"/>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row>
    <row r="155" spans="2:88" ht="17.5">
      <c r="B155" s="223"/>
      <c r="C155" s="223"/>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row>
    <row r="156" spans="2:88" ht="17.5">
      <c r="B156" s="223"/>
      <c r="C156" s="223"/>
      <c r="D156" s="223"/>
      <c r="E156" s="223"/>
      <c r="F156" s="223"/>
      <c r="G156" s="223"/>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row>
    <row r="157" spans="2:88" ht="20">
      <c r="B157" s="223"/>
      <c r="C157" s="223"/>
      <c r="D157" s="1367" t="s">
        <v>1206</v>
      </c>
      <c r="E157" s="1367"/>
      <c r="F157" s="1367"/>
      <c r="G157" s="1367"/>
      <c r="H157" s="1367"/>
      <c r="I157" s="1367"/>
      <c r="J157" s="1367"/>
      <c r="K157" s="1367"/>
      <c r="L157" s="1367"/>
      <c r="M157" s="1367"/>
      <c r="N157" s="1367"/>
      <c r="O157" s="1367"/>
      <c r="P157" s="1367"/>
      <c r="Q157" s="1367"/>
      <c r="R157" s="1367"/>
      <c r="S157" s="1367"/>
      <c r="T157" s="1367"/>
      <c r="U157" s="1367" t="s">
        <v>1207</v>
      </c>
      <c r="V157" s="1367"/>
      <c r="W157" s="1367"/>
      <c r="X157" s="1367"/>
      <c r="Y157" s="1367"/>
      <c r="Z157" s="1367"/>
      <c r="AA157" s="1367"/>
      <c r="AB157" s="1367"/>
      <c r="AC157" s="1367"/>
      <c r="AD157" s="1367"/>
      <c r="AE157" s="1367"/>
      <c r="AF157" s="1367"/>
      <c r="AG157" s="1367"/>
      <c r="AH157" s="1367"/>
      <c r="AI157" s="1367"/>
      <c r="AJ157" s="1367"/>
      <c r="AK157" s="1367"/>
      <c r="AL157" s="1368" t="s">
        <v>1208</v>
      </c>
      <c r="AM157" s="1368"/>
      <c r="AN157" s="1368"/>
      <c r="AO157" s="1368"/>
      <c r="AP157" s="1368"/>
      <c r="AQ157" s="1368"/>
      <c r="AR157" s="1368"/>
      <c r="AS157" s="1368"/>
      <c r="AT157" s="1368"/>
      <c r="AU157" s="1368"/>
      <c r="AV157" s="1368"/>
      <c r="AW157" s="1368"/>
      <c r="AX157" s="1368"/>
      <c r="AY157" s="1368"/>
      <c r="AZ157" s="1368"/>
      <c r="BA157" s="1368"/>
      <c r="BB157" s="1368"/>
      <c r="BC157" s="1368" t="s">
        <v>1209</v>
      </c>
      <c r="BD157" s="1368"/>
      <c r="BE157" s="1368"/>
      <c r="BF157" s="1368"/>
      <c r="BG157" s="1368"/>
      <c r="BH157" s="1368"/>
      <c r="BI157" s="1368"/>
      <c r="BJ157" s="1368"/>
      <c r="BK157" s="1368"/>
      <c r="BL157" s="1368"/>
      <c r="BM157" s="1368"/>
      <c r="BN157" s="1368"/>
      <c r="BO157" s="1368"/>
      <c r="BP157" s="1368"/>
      <c r="BQ157" s="1368"/>
      <c r="BR157" s="1368"/>
      <c r="BS157" s="1368"/>
      <c r="BT157" s="1368" t="s">
        <v>1210</v>
      </c>
      <c r="BU157" s="1368"/>
      <c r="BV157" s="1368"/>
      <c r="BW157" s="1368"/>
      <c r="BX157" s="1368"/>
      <c r="BY157" s="1368"/>
      <c r="BZ157" s="1368"/>
      <c r="CA157" s="1368"/>
      <c r="CB157" s="1368"/>
      <c r="CC157" s="1368"/>
      <c r="CD157" s="1368"/>
      <c r="CE157" s="1368"/>
      <c r="CF157" s="1368"/>
      <c r="CG157" s="1368"/>
      <c r="CH157" s="1368"/>
      <c r="CI157" s="1368"/>
      <c r="CJ157" s="1368"/>
    </row>
    <row r="158" spans="2:88" ht="17.5">
      <c r="B158" s="223"/>
      <c r="C158" s="223"/>
      <c r="D158" s="223"/>
      <c r="E158" s="223"/>
      <c r="F158" s="223"/>
      <c r="G158" s="223"/>
      <c r="H158" s="223"/>
      <c r="I158" s="223"/>
      <c r="J158" s="223"/>
      <c r="K158" s="223"/>
      <c r="L158" s="223"/>
      <c r="M158" s="223"/>
      <c r="N158" s="223"/>
      <c r="O158" s="223"/>
      <c r="P158" s="223"/>
      <c r="Q158" s="223"/>
      <c r="R158" s="223"/>
      <c r="S158" s="223"/>
      <c r="T158" s="223"/>
      <c r="U158" s="223"/>
      <c r="V158" s="223"/>
      <c r="W158" s="223"/>
      <c r="X158" s="223"/>
      <c r="Y158" s="223"/>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row>
    <row r="159" spans="2:88" ht="17.5">
      <c r="B159" s="223"/>
      <c r="C159" s="223"/>
      <c r="D159" s="223"/>
      <c r="E159" s="223"/>
      <c r="F159" s="223"/>
      <c r="G159" s="223"/>
      <c r="H159" s="223"/>
      <c r="I159" s="223"/>
      <c r="J159" s="223"/>
      <c r="K159" s="223"/>
      <c r="L159" s="223"/>
      <c r="M159" s="223"/>
      <c r="N159" s="223"/>
      <c r="O159" s="223"/>
      <c r="P159" s="223"/>
      <c r="Q159" s="223"/>
      <c r="R159" s="223"/>
      <c r="S159" s="223"/>
      <c r="T159" s="223"/>
      <c r="U159" s="223"/>
      <c r="V159" s="223"/>
      <c r="W159" s="223"/>
      <c r="X159" s="223"/>
      <c r="Y159" s="223"/>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78"/>
      <c r="BU159" s="278"/>
      <c r="BV159" s="278"/>
      <c r="BW159" s="278"/>
      <c r="BX159" s="278"/>
      <c r="BY159" s="278"/>
      <c r="BZ159" s="278"/>
      <c r="CA159" s="278"/>
      <c r="CB159" s="278"/>
      <c r="CC159" s="278"/>
      <c r="CD159" s="278"/>
      <c r="CE159" s="278"/>
      <c r="CF159" s="223"/>
      <c r="CG159" s="223"/>
      <c r="CH159" s="223"/>
      <c r="CI159" s="223"/>
      <c r="CJ159" s="223"/>
    </row>
    <row r="160" spans="2:88" ht="18">
      <c r="B160" s="222"/>
      <c r="C160" s="300" t="s">
        <v>443</v>
      </c>
      <c r="D160" s="1110">
        <v>0</v>
      </c>
      <c r="E160" s="1111">
        <v>1</v>
      </c>
      <c r="F160" s="1111">
        <v>10</v>
      </c>
      <c r="G160" s="1111">
        <v>20</v>
      </c>
      <c r="H160" s="1111">
        <v>30</v>
      </c>
      <c r="I160" s="1111">
        <v>40</v>
      </c>
      <c r="J160" s="1111">
        <v>50</v>
      </c>
      <c r="K160" s="1111">
        <v>60</v>
      </c>
      <c r="L160" s="1111">
        <v>70</v>
      </c>
      <c r="M160" s="1111">
        <v>80</v>
      </c>
      <c r="N160" s="1111">
        <v>90</v>
      </c>
      <c r="O160" s="1111">
        <v>100</v>
      </c>
      <c r="P160" s="1107">
        <v>200</v>
      </c>
      <c r="Q160" s="1107">
        <v>400</v>
      </c>
      <c r="R160" s="1107">
        <v>600</v>
      </c>
      <c r="S160" s="1107">
        <v>800</v>
      </c>
      <c r="T160" s="1107">
        <v>1000</v>
      </c>
      <c r="U160" s="1112">
        <v>0</v>
      </c>
      <c r="V160" s="1111">
        <v>1</v>
      </c>
      <c r="W160" s="1111">
        <v>10</v>
      </c>
      <c r="X160" s="1111">
        <v>20</v>
      </c>
      <c r="Y160" s="1111">
        <v>30</v>
      </c>
      <c r="Z160" s="1111">
        <v>40</v>
      </c>
      <c r="AA160" s="1111">
        <v>50</v>
      </c>
      <c r="AB160" s="1111">
        <v>60</v>
      </c>
      <c r="AC160" s="1111">
        <v>70</v>
      </c>
      <c r="AD160" s="1111">
        <v>80</v>
      </c>
      <c r="AE160" s="1111">
        <v>90</v>
      </c>
      <c r="AF160" s="1111">
        <v>100</v>
      </c>
      <c r="AG160" s="1107">
        <v>200</v>
      </c>
      <c r="AH160" s="1107">
        <v>400</v>
      </c>
      <c r="AI160" s="1107">
        <v>600</v>
      </c>
      <c r="AJ160" s="1107">
        <v>800</v>
      </c>
      <c r="AK160" s="1107">
        <v>1000</v>
      </c>
      <c r="AL160" s="1112">
        <v>0</v>
      </c>
      <c r="AM160" s="1111">
        <v>1</v>
      </c>
      <c r="AN160" s="1111">
        <v>10</v>
      </c>
      <c r="AO160" s="1111">
        <v>20</v>
      </c>
      <c r="AP160" s="1111">
        <v>30</v>
      </c>
      <c r="AQ160" s="1111">
        <v>40</v>
      </c>
      <c r="AR160" s="1111">
        <v>50</v>
      </c>
      <c r="AS160" s="1111">
        <v>60</v>
      </c>
      <c r="AT160" s="1111">
        <v>70</v>
      </c>
      <c r="AU160" s="1111">
        <v>80</v>
      </c>
      <c r="AV160" s="1111">
        <v>90</v>
      </c>
      <c r="AW160" s="1111">
        <v>100</v>
      </c>
      <c r="AX160" s="1107">
        <v>200</v>
      </c>
      <c r="AY160" s="1107">
        <v>400</v>
      </c>
      <c r="AZ160" s="1107">
        <v>600</v>
      </c>
      <c r="BA160" s="1107">
        <v>800</v>
      </c>
      <c r="BB160" s="1107">
        <v>1000</v>
      </c>
      <c r="BC160" s="1112">
        <v>0</v>
      </c>
      <c r="BD160" s="1111">
        <v>1</v>
      </c>
      <c r="BE160" s="1111">
        <v>10</v>
      </c>
      <c r="BF160" s="1111">
        <v>20</v>
      </c>
      <c r="BG160" s="1111">
        <v>30</v>
      </c>
      <c r="BH160" s="1111">
        <v>40</v>
      </c>
      <c r="BI160" s="1111">
        <v>50</v>
      </c>
      <c r="BJ160" s="1111">
        <v>60</v>
      </c>
      <c r="BK160" s="1111">
        <v>70</v>
      </c>
      <c r="BL160" s="1111">
        <v>80</v>
      </c>
      <c r="BM160" s="1111">
        <v>90</v>
      </c>
      <c r="BN160" s="1111">
        <v>100</v>
      </c>
      <c r="BO160" s="1107">
        <v>200</v>
      </c>
      <c r="BP160" s="1107">
        <v>400</v>
      </c>
      <c r="BQ160" s="1107">
        <v>600</v>
      </c>
      <c r="BR160" s="1107">
        <v>800</v>
      </c>
      <c r="BS160" s="1107">
        <v>1000</v>
      </c>
      <c r="BT160" s="1112">
        <v>0</v>
      </c>
      <c r="BU160" s="1111">
        <v>1</v>
      </c>
      <c r="BV160" s="1111">
        <v>10</v>
      </c>
      <c r="BW160" s="1111">
        <v>20</v>
      </c>
      <c r="BX160" s="1111">
        <v>30</v>
      </c>
      <c r="BY160" s="1111">
        <v>40</v>
      </c>
      <c r="BZ160" s="1111">
        <v>50</v>
      </c>
      <c r="CA160" s="1111">
        <v>60</v>
      </c>
      <c r="CB160" s="1111">
        <v>70</v>
      </c>
      <c r="CC160" s="1111">
        <v>80</v>
      </c>
      <c r="CD160" s="1111">
        <v>90</v>
      </c>
      <c r="CE160" s="1111">
        <v>100</v>
      </c>
      <c r="CF160" s="1107">
        <v>200</v>
      </c>
      <c r="CG160" s="1107">
        <v>400</v>
      </c>
      <c r="CH160" s="1107">
        <v>600</v>
      </c>
      <c r="CI160" s="1107">
        <v>800</v>
      </c>
      <c r="CJ160" s="1090">
        <v>1000</v>
      </c>
    </row>
    <row r="161" spans="2:88" ht="17.5">
      <c r="B161" s="223"/>
      <c r="C161" s="223" t="str">
        <f t="shared" ref="C161:C180" si="116">C106</f>
        <v>Talinisu</v>
      </c>
      <c r="D161" s="295">
        <f t="shared" ref="D161:D180" si="117">E106</f>
        <v>61.141547999999993</v>
      </c>
      <c r="E161" s="293">
        <f t="shared" ref="E161:T161" si="118">$R106+(($E106-$R106-$I106-$J106-$K106)*EXP(-$E$99*$E$88*E$160))+($I106*EXP(-$E$98*$E$88*E$160))+($J106*EXP(-$E$98*$E$88*E$160))+($K106*EXP(-$E$98*$E$88*E$160))</f>
        <v>62.476160305498937</v>
      </c>
      <c r="F161" s="293">
        <f t="shared" si="118"/>
        <v>60.100376444754623</v>
      </c>
      <c r="G161" s="293">
        <f t="shared" si="118"/>
        <v>56.459288278855958</v>
      </c>
      <c r="H161" s="293">
        <f t="shared" si="118"/>
        <v>53.03859294279976</v>
      </c>
      <c r="I161" s="293">
        <f t="shared" si="118"/>
        <v>49.825147043714018</v>
      </c>
      <c r="J161" s="293">
        <f t="shared" si="118"/>
        <v>46.806393989467182</v>
      </c>
      <c r="K161" s="293">
        <f t="shared" si="118"/>
        <v>43.970537936899632</v>
      </c>
      <c r="L161" s="293">
        <f t="shared" si="118"/>
        <v>41.306497716859013</v>
      </c>
      <c r="M161" s="293">
        <f t="shared" si="118"/>
        <v>38.803863534292368</v>
      </c>
      <c r="N161" s="293">
        <f t="shared" si="118"/>
        <v>36.452856291745739</v>
      </c>
      <c r="O161" s="293">
        <f t="shared" si="118"/>
        <v>34.24428937732835</v>
      </c>
      <c r="P161" s="293">
        <f t="shared" si="118"/>
        <v>18.329647250726453</v>
      </c>
      <c r="Q161" s="293">
        <f t="shared" si="118"/>
        <v>5.2515318620883251</v>
      </c>
      <c r="R161" s="293">
        <f t="shared" si="118"/>
        <v>1.5045890693524313</v>
      </c>
      <c r="S161" s="293">
        <f t="shared" si="118"/>
        <v>0.4310719856728808</v>
      </c>
      <c r="T161" s="293">
        <f t="shared" si="118"/>
        <v>0.1235041916873275</v>
      </c>
      <c r="U161" s="1113">
        <f t="shared" ref="U161:U180" si="119">V106</f>
        <v>61.141547999999993</v>
      </c>
      <c r="V161" s="293">
        <f t="shared" ref="V161:AK161" si="120">$AI106+(($V106-$AI106-$Z106-$AA106-$AB106)*EXP(-$E$99*$E$88*V$160))+($Z106*EXP(-$E$98*$E$88*V$160))+($AA106*EXP(-$E$98*$E$88*V$160))+($AB106*EXP(-$E$98*$E$88*V$160))</f>
        <v>62.956515787710607</v>
      </c>
      <c r="W161" s="293">
        <f t="shared" si="120"/>
        <v>60.84607456517152</v>
      </c>
      <c r="X161" s="293">
        <f t="shared" si="120"/>
        <v>57.159865512751978</v>
      </c>
      <c r="Y161" s="293">
        <f t="shared" si="120"/>
        <v>53.696724352448811</v>
      </c>
      <c r="Z161" s="293">
        <f t="shared" si="120"/>
        <v>50.443404286986542</v>
      </c>
      <c r="AA161" s="293">
        <f t="shared" si="120"/>
        <v>47.387192919976442</v>
      </c>
      <c r="AB161" s="293">
        <f t="shared" si="120"/>
        <v>44.516148039088129</v>
      </c>
      <c r="AC161" s="293">
        <f t="shared" si="120"/>
        <v>41.81905097405788</v>
      </c>
      <c r="AD161" s="293">
        <f t="shared" si="120"/>
        <v>39.285362759492578</v>
      </c>
      <c r="AE161" s="293">
        <f t="shared" si="120"/>
        <v>36.905182953633386</v>
      </c>
      <c r="AF161" s="293">
        <f t="shared" si="120"/>
        <v>34.66921095216442</v>
      </c>
      <c r="AG161" s="293">
        <f t="shared" si="120"/>
        <v>18.557091379881747</v>
      </c>
      <c r="AH161" s="293">
        <f t="shared" si="120"/>
        <v>5.3166956961090053</v>
      </c>
      <c r="AI161" s="293">
        <f t="shared" si="120"/>
        <v>1.5232588203811572</v>
      </c>
      <c r="AJ161" s="293">
        <f t="shared" si="120"/>
        <v>0.43642095889879629</v>
      </c>
      <c r="AK161" s="293">
        <f t="shared" si="120"/>
        <v>0.12503669817482901</v>
      </c>
      <c r="AL161" s="1113">
        <f t="shared" ref="AL161:AL180" si="121">AM106</f>
        <v>60.656366999999996</v>
      </c>
      <c r="AM161" s="293">
        <f t="shared" ref="AM161:BB161" si="122">$AZ106+(($AM106-$AZ106-$AQ106-$AR106-$AS106)*EXP(-$E$99*$E$88*AM$160))+($AQ106*EXP(-$E$98*$E$88*AM$160))+($AR106*EXP(-$E$98*$E$88*AM$160))+($AS106*EXP(-$E$98*$E$88*AM$160))</f>
        <v>62.547702566192342</v>
      </c>
      <c r="AN161" s="293">
        <f t="shared" si="122"/>
        <v>60.504148871912967</v>
      </c>
      <c r="AO161" s="293">
        <f t="shared" si="122"/>
        <v>56.83866500956173</v>
      </c>
      <c r="AP161" s="293">
        <f t="shared" si="122"/>
        <v>53.394984404674652</v>
      </c>
      <c r="AQ161" s="293">
        <f t="shared" si="122"/>
        <v>50.159945838474904</v>
      </c>
      <c r="AR161" s="293">
        <f t="shared" si="122"/>
        <v>47.12090835067977</v>
      </c>
      <c r="AS161" s="293">
        <f t="shared" si="122"/>
        <v>44.265996836265174</v>
      </c>
      <c r="AT161" s="293">
        <f t="shared" si="122"/>
        <v>41.58405566644749</v>
      </c>
      <c r="AU161" s="293">
        <f t="shared" si="122"/>
        <v>39.06460509782351</v>
      </c>
      <c r="AV161" s="293">
        <f t="shared" si="122"/>
        <v>36.697800322545305</v>
      </c>
      <c r="AW161" s="293">
        <f t="shared" si="122"/>
        <v>34.474392999519644</v>
      </c>
      <c r="AX161" s="293">
        <f t="shared" si="122"/>
        <v>18.452812844247962</v>
      </c>
      <c r="AY161" s="293">
        <f t="shared" si="122"/>
        <v>5.2868193954403688</v>
      </c>
      <c r="AZ161" s="293">
        <f t="shared" si="122"/>
        <v>1.5146991169271558</v>
      </c>
      <c r="BA161" s="293">
        <f t="shared" si="122"/>
        <v>0.43396856279952412</v>
      </c>
      <c r="BB161" s="293">
        <f t="shared" si="122"/>
        <v>0.12433407492858632</v>
      </c>
      <c r="BC161" s="1091">
        <f t="shared" ref="BC161:BC180" si="123">BD106</f>
        <v>58.492722000000008</v>
      </c>
      <c r="BD161" s="293">
        <f t="shared" ref="BD161:BS161" si="124">$BQ106+(($BD106-$BQ106-$BH106-$BI106-$BJ106)*EXP(-$E$99*$E$88*BD$160))+($BH106*EXP(-$E$98*$E$88*BD$160))+($BI106*EXP(-$E$98*$E$88*BD$160))+($BJ106*EXP(-$E$98*$E$88*BD$160))</f>
        <v>60.272826415226412</v>
      </c>
      <c r="BE161" s="293">
        <f t="shared" si="124"/>
        <v>58.277991444872725</v>
      </c>
      <c r="BF161" s="293">
        <f t="shared" si="124"/>
        <v>54.747368408338367</v>
      </c>
      <c r="BG161" s="293">
        <f t="shared" si="124"/>
        <v>51.430393058069214</v>
      </c>
      <c r="BH161" s="293">
        <f t="shared" si="124"/>
        <v>48.31438306438335</v>
      </c>
      <c r="BI161" s="293">
        <f t="shared" si="124"/>
        <v>45.387162572455885</v>
      </c>
      <c r="BJ161" s="293">
        <f t="shared" si="124"/>
        <v>42.637293404603938</v>
      </c>
      <c r="BK161" s="293">
        <f t="shared" si="124"/>
        <v>40.054030387295796</v>
      </c>
      <c r="BL161" s="293">
        <f t="shared" si="124"/>
        <v>37.627279364153573</v>
      </c>
      <c r="BM161" s="293">
        <f t="shared" si="124"/>
        <v>35.347557752817799</v>
      </c>
      <c r="BN161" s="293">
        <f t="shared" si="124"/>
        <v>33.205957491550791</v>
      </c>
      <c r="BO161" s="293">
        <f t="shared" si="124"/>
        <v>17.773868242268342</v>
      </c>
      <c r="BP161" s="293">
        <f t="shared" si="124"/>
        <v>5.0922985101708758</v>
      </c>
      <c r="BQ161" s="293">
        <f t="shared" si="124"/>
        <v>1.4589679502079553</v>
      </c>
      <c r="BR161" s="293">
        <f t="shared" si="124"/>
        <v>0.4180013161998582</v>
      </c>
      <c r="BS161" s="293">
        <f t="shared" si="124"/>
        <v>0.11975938218513246</v>
      </c>
      <c r="BT161" s="1113">
        <f t="shared" ref="BT161:BT180" si="125">BU106</f>
        <v>52.714260000000003</v>
      </c>
      <c r="BU161" s="293">
        <f t="shared" ref="BU161:CJ161" si="126">$CH106+(($BU106-$CH106-$BY106-$BZ106-$CA106)*EXP(-$E$99*$E$88*BU$160))+($BY106*EXP(-$E$98*$E$88*BU$160))+($BZ106*EXP(-$E$98*$E$88*BU$160))+($CA106*EXP(-$E$98*$E$88*BU$160))</f>
        <v>54.259345089260584</v>
      </c>
      <c r="BV161" s="293">
        <f t="shared" si="126"/>
        <v>52.428897303277338</v>
      </c>
      <c r="BW161" s="293">
        <f t="shared" si="126"/>
        <v>49.25261985892255</v>
      </c>
      <c r="BX161" s="293">
        <f t="shared" si="126"/>
        <v>46.268554491267409</v>
      </c>
      <c r="BY161" s="293">
        <f t="shared" si="126"/>
        <v>43.465284486595131</v>
      </c>
      <c r="BZ161" s="293">
        <f t="shared" si="126"/>
        <v>40.831856025611387</v>
      </c>
      <c r="CA161" s="293">
        <f t="shared" si="126"/>
        <v>38.357978929378469</v>
      </c>
      <c r="CB161" s="293">
        <f t="shared" si="126"/>
        <v>36.033986469382192</v>
      </c>
      <c r="CC161" s="293">
        <f t="shared" si="126"/>
        <v>33.850797594581671</v>
      </c>
      <c r="CD161" s="293">
        <f t="shared" si="126"/>
        <v>31.799881447005006</v>
      </c>
      <c r="CE161" s="293">
        <f t="shared" si="126"/>
        <v>29.8732240272364</v>
      </c>
      <c r="CF161" s="293">
        <f t="shared" si="126"/>
        <v>15.989984567286378</v>
      </c>
      <c r="CG161" s="293">
        <f t="shared" si="126"/>
        <v>4.5812072802479582</v>
      </c>
      <c r="CH161" s="293">
        <f t="shared" si="126"/>
        <v>1.3125378612018652</v>
      </c>
      <c r="CI161" s="293">
        <f t="shared" si="126"/>
        <v>0.37604839329494877</v>
      </c>
      <c r="CJ161" s="1100">
        <f t="shared" si="126"/>
        <v>0.10773966853057018</v>
      </c>
    </row>
    <row r="162" spans="2:88" ht="17.5">
      <c r="B162" s="223"/>
      <c r="C162" s="223">
        <f t="shared" si="116"/>
        <v>0</v>
      </c>
      <c r="D162" s="295">
        <f t="shared" si="117"/>
        <v>61.141547999999993</v>
      </c>
      <c r="E162" s="293">
        <f t="shared" ref="E162:T162" si="127">$R107+(($E107-$R107-$I107-$J107-$K107)*EXP(-$E$99*$E$88*E$160))+($I107*EXP(-$E$98*$E$88*E$160))+($J107*EXP(-$E$98*$E$88*E$160))+($K107*EXP(-$E$98*$E$88*E$160))</f>
        <v>62.476160305498937</v>
      </c>
      <c r="F162" s="293">
        <f t="shared" si="127"/>
        <v>60.100376444754623</v>
      </c>
      <c r="G162" s="293">
        <f t="shared" si="127"/>
        <v>56.459288278855958</v>
      </c>
      <c r="H162" s="293">
        <f t="shared" si="127"/>
        <v>53.03859294279976</v>
      </c>
      <c r="I162" s="293">
        <f t="shared" si="127"/>
        <v>49.825147043714018</v>
      </c>
      <c r="J162" s="293">
        <f t="shared" si="127"/>
        <v>46.806393989467182</v>
      </c>
      <c r="K162" s="293">
        <f t="shared" si="127"/>
        <v>43.970537936899632</v>
      </c>
      <c r="L162" s="293">
        <f t="shared" si="127"/>
        <v>41.306497716859013</v>
      </c>
      <c r="M162" s="293">
        <f t="shared" si="127"/>
        <v>38.803863534292368</v>
      </c>
      <c r="N162" s="293">
        <f t="shared" si="127"/>
        <v>36.452856291745739</v>
      </c>
      <c r="O162" s="293">
        <f t="shared" si="127"/>
        <v>34.24428937732835</v>
      </c>
      <c r="P162" s="293">
        <f t="shared" si="127"/>
        <v>18.329647250726453</v>
      </c>
      <c r="Q162" s="293">
        <f t="shared" si="127"/>
        <v>5.2515318620883251</v>
      </c>
      <c r="R162" s="293">
        <f t="shared" si="127"/>
        <v>1.5045890693524313</v>
      </c>
      <c r="S162" s="293">
        <f t="shared" si="127"/>
        <v>0.4310719856728808</v>
      </c>
      <c r="T162" s="293">
        <f t="shared" si="127"/>
        <v>0.1235041916873275</v>
      </c>
      <c r="U162" s="1113">
        <f t="shared" si="119"/>
        <v>61.141547999999993</v>
      </c>
      <c r="V162" s="293">
        <f t="shared" ref="V162:AK162" si="128">$AI107+(($V107-$AI107-$Z107-$AA107-$AB107)*EXP(-$E$99*$E$88*V$160))+($Z107*EXP(-$E$98*$E$88*V$160))+($AA107*EXP(-$E$98*$E$88*V$160))+($AB107*EXP(-$E$98*$E$88*V$160))</f>
        <v>62.956515787710607</v>
      </c>
      <c r="W162" s="293">
        <f t="shared" si="128"/>
        <v>60.84607456517152</v>
      </c>
      <c r="X162" s="293">
        <f t="shared" si="128"/>
        <v>57.159865512751978</v>
      </c>
      <c r="Y162" s="293">
        <f t="shared" si="128"/>
        <v>53.696724352448811</v>
      </c>
      <c r="Z162" s="293">
        <f t="shared" si="128"/>
        <v>50.443404286986542</v>
      </c>
      <c r="AA162" s="293">
        <f t="shared" si="128"/>
        <v>47.387192919976442</v>
      </c>
      <c r="AB162" s="293">
        <f t="shared" si="128"/>
        <v>44.516148039088129</v>
      </c>
      <c r="AC162" s="293">
        <f t="shared" si="128"/>
        <v>41.81905097405788</v>
      </c>
      <c r="AD162" s="293">
        <f t="shared" si="128"/>
        <v>39.285362759492578</v>
      </c>
      <c r="AE162" s="293">
        <f t="shared" si="128"/>
        <v>36.905182953633386</v>
      </c>
      <c r="AF162" s="293">
        <f t="shared" si="128"/>
        <v>34.66921095216442</v>
      </c>
      <c r="AG162" s="293">
        <f t="shared" si="128"/>
        <v>18.557091379881747</v>
      </c>
      <c r="AH162" s="293">
        <f t="shared" si="128"/>
        <v>5.3166956961090053</v>
      </c>
      <c r="AI162" s="293">
        <f t="shared" si="128"/>
        <v>1.5232588203811572</v>
      </c>
      <c r="AJ162" s="293">
        <f t="shared" si="128"/>
        <v>0.43642095889879629</v>
      </c>
      <c r="AK162" s="293">
        <f t="shared" si="128"/>
        <v>0.12503669817482901</v>
      </c>
      <c r="AL162" s="1113">
        <f t="shared" si="121"/>
        <v>60.656366999999996</v>
      </c>
      <c r="AM162" s="293">
        <f t="shared" ref="AM162:BB162" si="129">$AZ107+(($AM107-$AZ107-$AQ107-$AR107-$AS107)*EXP(-$E$99*$E$88*AM$160))+($AQ107*EXP(-$E$98*$E$88*AM$160))+($AR107*EXP(-$E$98*$E$88*AM$160))+($AS107*EXP(-$E$98*$E$88*AM$160))</f>
        <v>62.547702566192342</v>
      </c>
      <c r="AN162" s="293">
        <f t="shared" si="129"/>
        <v>60.504148871912967</v>
      </c>
      <c r="AO162" s="293">
        <f t="shared" si="129"/>
        <v>56.83866500956173</v>
      </c>
      <c r="AP162" s="293">
        <f t="shared" si="129"/>
        <v>53.394984404674652</v>
      </c>
      <c r="AQ162" s="293">
        <f t="shared" si="129"/>
        <v>50.159945838474904</v>
      </c>
      <c r="AR162" s="293">
        <f t="shared" si="129"/>
        <v>47.12090835067977</v>
      </c>
      <c r="AS162" s="293">
        <f t="shared" si="129"/>
        <v>44.265996836265174</v>
      </c>
      <c r="AT162" s="293">
        <f t="shared" si="129"/>
        <v>41.58405566644749</v>
      </c>
      <c r="AU162" s="293">
        <f t="shared" si="129"/>
        <v>39.06460509782351</v>
      </c>
      <c r="AV162" s="293">
        <f t="shared" si="129"/>
        <v>36.697800322545305</v>
      </c>
      <c r="AW162" s="293">
        <f t="shared" si="129"/>
        <v>34.474392999519644</v>
      </c>
      <c r="AX162" s="293">
        <f t="shared" si="129"/>
        <v>18.452812844247962</v>
      </c>
      <c r="AY162" s="293">
        <f t="shared" si="129"/>
        <v>5.2868193954403688</v>
      </c>
      <c r="AZ162" s="293">
        <f t="shared" si="129"/>
        <v>1.5146991169271558</v>
      </c>
      <c r="BA162" s="293">
        <f t="shared" si="129"/>
        <v>0.43396856279952412</v>
      </c>
      <c r="BB162" s="293">
        <f t="shared" si="129"/>
        <v>0.12433407492858632</v>
      </c>
      <c r="BC162" s="1091">
        <f t="shared" si="123"/>
        <v>58.492722000000008</v>
      </c>
      <c r="BD162" s="293">
        <f t="shared" ref="BD162:BS162" si="130">$BQ107+(($BD107-$BQ107-$BH107-$BI107-$BJ107)*EXP(-$E$99*$E$88*BD$160))+($BH107*EXP(-$E$98*$E$88*BD$160))+($BI107*EXP(-$E$98*$E$88*BD$160))+($BJ107*EXP(-$E$98*$E$88*BD$160))</f>
        <v>60.272826415226412</v>
      </c>
      <c r="BE162" s="293">
        <f t="shared" si="130"/>
        <v>58.277991444872725</v>
      </c>
      <c r="BF162" s="293">
        <f t="shared" si="130"/>
        <v>54.747368408338367</v>
      </c>
      <c r="BG162" s="293">
        <f t="shared" si="130"/>
        <v>51.430393058069214</v>
      </c>
      <c r="BH162" s="293">
        <f t="shared" si="130"/>
        <v>48.31438306438335</v>
      </c>
      <c r="BI162" s="293">
        <f t="shared" si="130"/>
        <v>45.387162572455885</v>
      </c>
      <c r="BJ162" s="293">
        <f t="shared" si="130"/>
        <v>42.637293404603938</v>
      </c>
      <c r="BK162" s="293">
        <f t="shared" si="130"/>
        <v>40.054030387295796</v>
      </c>
      <c r="BL162" s="293">
        <f t="shared" si="130"/>
        <v>37.627279364153573</v>
      </c>
      <c r="BM162" s="293">
        <f t="shared" si="130"/>
        <v>35.347557752817799</v>
      </c>
      <c r="BN162" s="293">
        <f t="shared" si="130"/>
        <v>33.205957491550791</v>
      </c>
      <c r="BO162" s="293">
        <f t="shared" si="130"/>
        <v>17.773868242268342</v>
      </c>
      <c r="BP162" s="293">
        <f t="shared" si="130"/>
        <v>5.0922985101708758</v>
      </c>
      <c r="BQ162" s="293">
        <f t="shared" si="130"/>
        <v>1.4589679502079553</v>
      </c>
      <c r="BR162" s="293">
        <f t="shared" si="130"/>
        <v>0.4180013161998582</v>
      </c>
      <c r="BS162" s="293">
        <f t="shared" si="130"/>
        <v>0.11975938218513246</v>
      </c>
      <c r="BT162" s="1091">
        <f t="shared" si="125"/>
        <v>52.714260000000003</v>
      </c>
      <c r="BU162" s="293">
        <f t="shared" ref="BU162:CJ162" si="131">$CH107+(($BU107-$CH107-$BY107-$BZ107-$CA107)*EXP(-$E$99*$E$88*BU$160))+($BY107*EXP(-$E$98*$E$88*BU$160))+($BZ107*EXP(-$E$98*$E$88*BU$160))+($CA107*EXP(-$E$98*$E$88*BU$160))</f>
        <v>54.259345089260584</v>
      </c>
      <c r="BV162" s="293">
        <f t="shared" si="131"/>
        <v>52.428897303277338</v>
      </c>
      <c r="BW162" s="293">
        <f t="shared" si="131"/>
        <v>49.25261985892255</v>
      </c>
      <c r="BX162" s="293">
        <f t="shared" si="131"/>
        <v>46.268554491267409</v>
      </c>
      <c r="BY162" s="293">
        <f t="shared" si="131"/>
        <v>43.465284486595131</v>
      </c>
      <c r="BZ162" s="293">
        <f t="shared" si="131"/>
        <v>40.831856025611387</v>
      </c>
      <c r="CA162" s="293">
        <f t="shared" si="131"/>
        <v>38.357978929378469</v>
      </c>
      <c r="CB162" s="293">
        <f t="shared" si="131"/>
        <v>36.033986469382192</v>
      </c>
      <c r="CC162" s="293">
        <f t="shared" si="131"/>
        <v>33.850797594581671</v>
      </c>
      <c r="CD162" s="293">
        <f t="shared" si="131"/>
        <v>31.799881447005006</v>
      </c>
      <c r="CE162" s="293">
        <f t="shared" si="131"/>
        <v>29.8732240272364</v>
      </c>
      <c r="CF162" s="293">
        <f t="shared" si="131"/>
        <v>15.989984567286378</v>
      </c>
      <c r="CG162" s="293">
        <f t="shared" si="131"/>
        <v>4.5812072802479582</v>
      </c>
      <c r="CH162" s="293">
        <f t="shared" si="131"/>
        <v>1.3125378612018652</v>
      </c>
      <c r="CI162" s="293">
        <f t="shared" si="131"/>
        <v>0.37604839329494877</v>
      </c>
      <c r="CJ162" s="1100">
        <f t="shared" si="131"/>
        <v>0.10773966853057018</v>
      </c>
    </row>
    <row r="163" spans="2:88" ht="17.5">
      <c r="B163" s="223"/>
      <c r="C163" s="223">
        <f t="shared" si="116"/>
        <v>0</v>
      </c>
      <c r="D163" s="295">
        <f t="shared" si="117"/>
        <v>61.141547999999993</v>
      </c>
      <c r="E163" s="293">
        <f t="shared" ref="E163:T163" si="132">$R108+(($E108-$R108-$I108-$J108-$K108)*EXP(-$E$99*$E$88*E$160))+($I108*EXP(-$E$98*$E$88*E$160))+($J108*EXP(-$E$98*$E$88*E$160))+($K108*EXP(-$E$98*$E$88*E$160))</f>
        <v>62.476160305498937</v>
      </c>
      <c r="F163" s="293">
        <f t="shared" si="132"/>
        <v>60.100376444754623</v>
      </c>
      <c r="G163" s="293">
        <f t="shared" si="132"/>
        <v>56.459288278855958</v>
      </c>
      <c r="H163" s="293">
        <f t="shared" si="132"/>
        <v>53.03859294279976</v>
      </c>
      <c r="I163" s="293">
        <f t="shared" si="132"/>
        <v>49.825147043714018</v>
      </c>
      <c r="J163" s="293">
        <f t="shared" si="132"/>
        <v>46.806393989467182</v>
      </c>
      <c r="K163" s="293">
        <f t="shared" si="132"/>
        <v>43.970537936899632</v>
      </c>
      <c r="L163" s="293">
        <f t="shared" si="132"/>
        <v>41.306497716859013</v>
      </c>
      <c r="M163" s="293">
        <f t="shared" si="132"/>
        <v>38.803863534292368</v>
      </c>
      <c r="N163" s="293">
        <f t="shared" si="132"/>
        <v>36.452856291745739</v>
      </c>
      <c r="O163" s="293">
        <f t="shared" si="132"/>
        <v>34.24428937732835</v>
      </c>
      <c r="P163" s="293">
        <f t="shared" si="132"/>
        <v>18.329647250726453</v>
      </c>
      <c r="Q163" s="293">
        <f t="shared" si="132"/>
        <v>5.2515318620883251</v>
      </c>
      <c r="R163" s="293">
        <f t="shared" si="132"/>
        <v>1.5045890693524313</v>
      </c>
      <c r="S163" s="293">
        <f t="shared" si="132"/>
        <v>0.4310719856728808</v>
      </c>
      <c r="T163" s="293">
        <f t="shared" si="132"/>
        <v>0.1235041916873275</v>
      </c>
      <c r="U163" s="1091">
        <f t="shared" si="119"/>
        <v>61.141547999999993</v>
      </c>
      <c r="V163" s="293">
        <f t="shared" ref="V163:AK163" si="133">$AI108+(($V108-$AI108-$Z108-$AA108-$AB108)*EXP(-$E$99*$E$88*V$160))+($Z108*EXP(-$E$98*$E$88*V$160))+($AA108*EXP(-$E$98*$E$88*V$160))+($AB108*EXP(-$E$98*$E$88*V$160))</f>
        <v>62.956515787710607</v>
      </c>
      <c r="W163" s="293">
        <f t="shared" si="133"/>
        <v>60.84607456517152</v>
      </c>
      <c r="X163" s="293">
        <f t="shared" si="133"/>
        <v>57.159865512751978</v>
      </c>
      <c r="Y163" s="293">
        <f t="shared" si="133"/>
        <v>53.696724352448811</v>
      </c>
      <c r="Z163" s="293">
        <f t="shared" si="133"/>
        <v>50.443404286986542</v>
      </c>
      <c r="AA163" s="293">
        <f t="shared" si="133"/>
        <v>47.387192919976442</v>
      </c>
      <c r="AB163" s="293">
        <f t="shared" si="133"/>
        <v>44.516148039088129</v>
      </c>
      <c r="AC163" s="293">
        <f t="shared" si="133"/>
        <v>41.81905097405788</v>
      </c>
      <c r="AD163" s="293">
        <f t="shared" si="133"/>
        <v>39.285362759492578</v>
      </c>
      <c r="AE163" s="293">
        <f t="shared" si="133"/>
        <v>36.905182953633386</v>
      </c>
      <c r="AF163" s="293">
        <f t="shared" si="133"/>
        <v>34.66921095216442</v>
      </c>
      <c r="AG163" s="293">
        <f t="shared" si="133"/>
        <v>18.557091379881747</v>
      </c>
      <c r="AH163" s="293">
        <f t="shared" si="133"/>
        <v>5.3166956961090053</v>
      </c>
      <c r="AI163" s="293">
        <f t="shared" si="133"/>
        <v>1.5232588203811572</v>
      </c>
      <c r="AJ163" s="293">
        <f t="shared" si="133"/>
        <v>0.43642095889879629</v>
      </c>
      <c r="AK163" s="293">
        <f t="shared" si="133"/>
        <v>0.12503669817482901</v>
      </c>
      <c r="AL163" s="1091">
        <f t="shared" si="121"/>
        <v>60.656366999999996</v>
      </c>
      <c r="AM163" s="293">
        <f t="shared" ref="AM163:BB163" si="134">$AZ108+(($AM108-$AZ108-$AQ108-$AR108-$AS108)*EXP(-$E$99*$E$88*AM$160))+($AQ108*EXP(-$E$98*$E$88*AM$160))+($AR108*EXP(-$E$98*$E$88*AM$160))+($AS108*EXP(-$E$98*$E$88*AM$160))</f>
        <v>62.547702566192342</v>
      </c>
      <c r="AN163" s="293">
        <f t="shared" si="134"/>
        <v>60.504148871912967</v>
      </c>
      <c r="AO163" s="293">
        <f t="shared" si="134"/>
        <v>56.83866500956173</v>
      </c>
      <c r="AP163" s="293">
        <f t="shared" si="134"/>
        <v>53.394984404674652</v>
      </c>
      <c r="AQ163" s="293">
        <f t="shared" si="134"/>
        <v>50.159945838474904</v>
      </c>
      <c r="AR163" s="293">
        <f t="shared" si="134"/>
        <v>47.12090835067977</v>
      </c>
      <c r="AS163" s="293">
        <f t="shared" si="134"/>
        <v>44.265996836265174</v>
      </c>
      <c r="AT163" s="293">
        <f t="shared" si="134"/>
        <v>41.58405566644749</v>
      </c>
      <c r="AU163" s="293">
        <f t="shared" si="134"/>
        <v>39.06460509782351</v>
      </c>
      <c r="AV163" s="293">
        <f t="shared" si="134"/>
        <v>36.697800322545305</v>
      </c>
      <c r="AW163" s="293">
        <f t="shared" si="134"/>
        <v>34.474392999519644</v>
      </c>
      <c r="AX163" s="293">
        <f t="shared" si="134"/>
        <v>18.452812844247962</v>
      </c>
      <c r="AY163" s="293">
        <f t="shared" si="134"/>
        <v>5.2868193954403688</v>
      </c>
      <c r="AZ163" s="293">
        <f t="shared" si="134"/>
        <v>1.5146991169271558</v>
      </c>
      <c r="BA163" s="293">
        <f t="shared" si="134"/>
        <v>0.43396856279952412</v>
      </c>
      <c r="BB163" s="293">
        <f t="shared" si="134"/>
        <v>0.12433407492858632</v>
      </c>
      <c r="BC163" s="1091">
        <f t="shared" si="123"/>
        <v>58.492722000000008</v>
      </c>
      <c r="BD163" s="293">
        <f t="shared" ref="BD163:BS163" si="135">$BQ108+(($BD108-$BQ108-$BH108-$BI108-$BJ108)*EXP(-$E$99*$E$88*BD$160))+($BH108*EXP(-$E$98*$E$88*BD$160))+($BI108*EXP(-$E$98*$E$88*BD$160))+($BJ108*EXP(-$E$98*$E$88*BD$160))</f>
        <v>60.272826415226412</v>
      </c>
      <c r="BE163" s="293">
        <f t="shared" si="135"/>
        <v>58.277991444872725</v>
      </c>
      <c r="BF163" s="293">
        <f t="shared" si="135"/>
        <v>54.747368408338367</v>
      </c>
      <c r="BG163" s="293">
        <f t="shared" si="135"/>
        <v>51.430393058069214</v>
      </c>
      <c r="BH163" s="293">
        <f t="shared" si="135"/>
        <v>48.31438306438335</v>
      </c>
      <c r="BI163" s="293">
        <f t="shared" si="135"/>
        <v>45.387162572455885</v>
      </c>
      <c r="BJ163" s="293">
        <f t="shared" si="135"/>
        <v>42.637293404603938</v>
      </c>
      <c r="BK163" s="293">
        <f t="shared" si="135"/>
        <v>40.054030387295796</v>
      </c>
      <c r="BL163" s="293">
        <f t="shared" si="135"/>
        <v>37.627279364153573</v>
      </c>
      <c r="BM163" s="293">
        <f t="shared" si="135"/>
        <v>35.347557752817799</v>
      </c>
      <c r="BN163" s="293">
        <f t="shared" si="135"/>
        <v>33.205957491550791</v>
      </c>
      <c r="BO163" s="293">
        <f t="shared" si="135"/>
        <v>17.773868242268342</v>
      </c>
      <c r="BP163" s="293">
        <f t="shared" si="135"/>
        <v>5.0922985101708758</v>
      </c>
      <c r="BQ163" s="293">
        <f t="shared" si="135"/>
        <v>1.4589679502079553</v>
      </c>
      <c r="BR163" s="293">
        <f t="shared" si="135"/>
        <v>0.4180013161998582</v>
      </c>
      <c r="BS163" s="293">
        <f t="shared" si="135"/>
        <v>0.11975938218513246</v>
      </c>
      <c r="BT163" s="1091">
        <f t="shared" si="125"/>
        <v>52.714260000000003</v>
      </c>
      <c r="BU163" s="293">
        <f t="shared" ref="BU163:CJ163" si="136">$CH108+(($BU108-$CH108-$BY108-$BZ108-$CA108)*EXP(-$E$99*$E$88*BU$160))+($BY108*EXP(-$E$98*$E$88*BU$160))+($BZ108*EXP(-$E$98*$E$88*BU$160))+($CA108*EXP(-$E$98*$E$88*BU$160))</f>
        <v>54.259345089260584</v>
      </c>
      <c r="BV163" s="293">
        <f t="shared" si="136"/>
        <v>52.428897303277338</v>
      </c>
      <c r="BW163" s="293">
        <f t="shared" si="136"/>
        <v>49.25261985892255</v>
      </c>
      <c r="BX163" s="293">
        <f t="shared" si="136"/>
        <v>46.268554491267409</v>
      </c>
      <c r="BY163" s="293">
        <f t="shared" si="136"/>
        <v>43.465284486595131</v>
      </c>
      <c r="BZ163" s="293">
        <f t="shared" si="136"/>
        <v>40.831856025611387</v>
      </c>
      <c r="CA163" s="293">
        <f t="shared" si="136"/>
        <v>38.357978929378469</v>
      </c>
      <c r="CB163" s="293">
        <f t="shared" si="136"/>
        <v>36.033986469382192</v>
      </c>
      <c r="CC163" s="293">
        <f t="shared" si="136"/>
        <v>33.850797594581671</v>
      </c>
      <c r="CD163" s="293">
        <f t="shared" si="136"/>
        <v>31.799881447005006</v>
      </c>
      <c r="CE163" s="293">
        <f t="shared" si="136"/>
        <v>29.8732240272364</v>
      </c>
      <c r="CF163" s="293">
        <f t="shared" si="136"/>
        <v>15.989984567286378</v>
      </c>
      <c r="CG163" s="293">
        <f t="shared" si="136"/>
        <v>4.5812072802479582</v>
      </c>
      <c r="CH163" s="293">
        <f t="shared" si="136"/>
        <v>1.3125378612018652</v>
      </c>
      <c r="CI163" s="293">
        <f t="shared" si="136"/>
        <v>0.37604839329494877</v>
      </c>
      <c r="CJ163" s="1100">
        <f t="shared" si="136"/>
        <v>0.10773966853057018</v>
      </c>
    </row>
    <row r="164" spans="2:88" ht="17.5">
      <c r="B164" s="223"/>
      <c r="C164" s="223">
        <f t="shared" si="116"/>
        <v>0</v>
      </c>
      <c r="D164" s="295">
        <f t="shared" si="117"/>
        <v>61.141547999999993</v>
      </c>
      <c r="E164" s="293">
        <f t="shared" ref="E164:T164" si="137">$R109+(($E109-$R109-$I109-$J109-$K109)*EXP(-$E$99*$E$88*E$160))+($I109*EXP(-$E$98*$E$88*E$160))+($J109*EXP(-$E$98*$E$88*E$160))+($K109*EXP(-$E$98*$E$88*E$160))</f>
        <v>62.476160305498937</v>
      </c>
      <c r="F164" s="293">
        <f t="shared" si="137"/>
        <v>60.100376444754623</v>
      </c>
      <c r="G164" s="293">
        <f t="shared" si="137"/>
        <v>56.459288278855958</v>
      </c>
      <c r="H164" s="293">
        <f t="shared" si="137"/>
        <v>53.03859294279976</v>
      </c>
      <c r="I164" s="293">
        <f t="shared" si="137"/>
        <v>49.825147043714018</v>
      </c>
      <c r="J164" s="293">
        <f t="shared" si="137"/>
        <v>46.806393989467182</v>
      </c>
      <c r="K164" s="293">
        <f t="shared" si="137"/>
        <v>43.970537936899632</v>
      </c>
      <c r="L164" s="293">
        <f t="shared" si="137"/>
        <v>41.306497716859013</v>
      </c>
      <c r="M164" s="293">
        <f t="shared" si="137"/>
        <v>38.803863534292368</v>
      </c>
      <c r="N164" s="293">
        <f t="shared" si="137"/>
        <v>36.452856291745739</v>
      </c>
      <c r="O164" s="293">
        <f t="shared" si="137"/>
        <v>34.24428937732835</v>
      </c>
      <c r="P164" s="293">
        <f t="shared" si="137"/>
        <v>18.329647250726453</v>
      </c>
      <c r="Q164" s="293">
        <f t="shared" si="137"/>
        <v>5.2515318620883251</v>
      </c>
      <c r="R164" s="293">
        <f t="shared" si="137"/>
        <v>1.5045890693524313</v>
      </c>
      <c r="S164" s="293">
        <f t="shared" si="137"/>
        <v>0.4310719856728808</v>
      </c>
      <c r="T164" s="293">
        <f t="shared" si="137"/>
        <v>0.1235041916873275</v>
      </c>
      <c r="U164" s="1091">
        <f t="shared" si="119"/>
        <v>61.141547999999993</v>
      </c>
      <c r="V164" s="293">
        <f t="shared" ref="V164:AK164" si="138">$AI109+(($V109-$AI109-$Z109-$AA109-$AB109)*EXP(-$E$99*$E$88*V$160))+($Z109*EXP(-$E$98*$E$88*V$160))+($AA109*EXP(-$E$98*$E$88*V$160))+($AB109*EXP(-$E$98*$E$88*V$160))</f>
        <v>62.956515787710607</v>
      </c>
      <c r="W164" s="293">
        <f t="shared" si="138"/>
        <v>60.84607456517152</v>
      </c>
      <c r="X164" s="293">
        <f t="shared" si="138"/>
        <v>57.159865512751978</v>
      </c>
      <c r="Y164" s="293">
        <f t="shared" si="138"/>
        <v>53.696724352448811</v>
      </c>
      <c r="Z164" s="293">
        <f t="shared" si="138"/>
        <v>50.443404286986542</v>
      </c>
      <c r="AA164" s="293">
        <f t="shared" si="138"/>
        <v>47.387192919976442</v>
      </c>
      <c r="AB164" s="293">
        <f t="shared" si="138"/>
        <v>44.516148039088129</v>
      </c>
      <c r="AC164" s="293">
        <f t="shared" si="138"/>
        <v>41.81905097405788</v>
      </c>
      <c r="AD164" s="293">
        <f t="shared" si="138"/>
        <v>39.285362759492578</v>
      </c>
      <c r="AE164" s="293">
        <f t="shared" si="138"/>
        <v>36.905182953633386</v>
      </c>
      <c r="AF164" s="293">
        <f t="shared" si="138"/>
        <v>34.66921095216442</v>
      </c>
      <c r="AG164" s="293">
        <f t="shared" si="138"/>
        <v>18.557091379881747</v>
      </c>
      <c r="AH164" s="293">
        <f t="shared" si="138"/>
        <v>5.3166956961090053</v>
      </c>
      <c r="AI164" s="293">
        <f t="shared" si="138"/>
        <v>1.5232588203811572</v>
      </c>
      <c r="AJ164" s="293">
        <f t="shared" si="138"/>
        <v>0.43642095889879629</v>
      </c>
      <c r="AK164" s="293">
        <f t="shared" si="138"/>
        <v>0.12503669817482901</v>
      </c>
      <c r="AL164" s="1091">
        <f t="shared" si="121"/>
        <v>60.656366999999996</v>
      </c>
      <c r="AM164" s="293">
        <f t="shared" ref="AM164:BB164" si="139">$AZ109+(($AM109-$AZ109-$AQ109-$AR109-$AS109)*EXP(-$E$99*$E$88*AM$160))+($AQ109*EXP(-$E$98*$E$88*AM$160))+($AR109*EXP(-$E$98*$E$88*AM$160))+($AS109*EXP(-$E$98*$E$88*AM$160))</f>
        <v>62.547702566192342</v>
      </c>
      <c r="AN164" s="293">
        <f t="shared" si="139"/>
        <v>60.504148871912967</v>
      </c>
      <c r="AO164" s="293">
        <f t="shared" si="139"/>
        <v>56.83866500956173</v>
      </c>
      <c r="AP164" s="293">
        <f t="shared" si="139"/>
        <v>53.394984404674652</v>
      </c>
      <c r="AQ164" s="293">
        <f t="shared" si="139"/>
        <v>50.159945838474904</v>
      </c>
      <c r="AR164" s="293">
        <f t="shared" si="139"/>
        <v>47.12090835067977</v>
      </c>
      <c r="AS164" s="293">
        <f t="shared" si="139"/>
        <v>44.265996836265174</v>
      </c>
      <c r="AT164" s="293">
        <f t="shared" si="139"/>
        <v>41.58405566644749</v>
      </c>
      <c r="AU164" s="293">
        <f t="shared" si="139"/>
        <v>39.06460509782351</v>
      </c>
      <c r="AV164" s="293">
        <f t="shared" si="139"/>
        <v>36.697800322545305</v>
      </c>
      <c r="AW164" s="293">
        <f t="shared" si="139"/>
        <v>34.474392999519644</v>
      </c>
      <c r="AX164" s="293">
        <f t="shared" si="139"/>
        <v>18.452812844247962</v>
      </c>
      <c r="AY164" s="293">
        <f t="shared" si="139"/>
        <v>5.2868193954403688</v>
      </c>
      <c r="AZ164" s="293">
        <f t="shared" si="139"/>
        <v>1.5146991169271558</v>
      </c>
      <c r="BA164" s="293">
        <f t="shared" si="139"/>
        <v>0.43396856279952412</v>
      </c>
      <c r="BB164" s="293">
        <f t="shared" si="139"/>
        <v>0.12433407492858632</v>
      </c>
      <c r="BC164" s="1091">
        <f t="shared" si="123"/>
        <v>58.492722000000008</v>
      </c>
      <c r="BD164" s="293">
        <f t="shared" ref="BD164:BS164" si="140">$BQ109+(($BD109-$BQ109-$BH109-$BI109-$BJ109)*EXP(-$E$99*$E$88*BD$160))+($BH109*EXP(-$E$98*$E$88*BD$160))+($BI109*EXP(-$E$98*$E$88*BD$160))+($BJ109*EXP(-$E$98*$E$88*BD$160))</f>
        <v>60.272826415226412</v>
      </c>
      <c r="BE164" s="293">
        <f t="shared" si="140"/>
        <v>58.277991444872725</v>
      </c>
      <c r="BF164" s="293">
        <f t="shared" si="140"/>
        <v>54.747368408338367</v>
      </c>
      <c r="BG164" s="293">
        <f t="shared" si="140"/>
        <v>51.430393058069214</v>
      </c>
      <c r="BH164" s="293">
        <f t="shared" si="140"/>
        <v>48.31438306438335</v>
      </c>
      <c r="BI164" s="293">
        <f t="shared" si="140"/>
        <v>45.387162572455885</v>
      </c>
      <c r="BJ164" s="293">
        <f t="shared" si="140"/>
        <v>42.637293404603938</v>
      </c>
      <c r="BK164" s="293">
        <f t="shared" si="140"/>
        <v>40.054030387295796</v>
      </c>
      <c r="BL164" s="293">
        <f t="shared" si="140"/>
        <v>37.627279364153573</v>
      </c>
      <c r="BM164" s="293">
        <f t="shared" si="140"/>
        <v>35.347557752817799</v>
      </c>
      <c r="BN164" s="293">
        <f t="shared" si="140"/>
        <v>33.205957491550791</v>
      </c>
      <c r="BO164" s="293">
        <f t="shared" si="140"/>
        <v>17.773868242268342</v>
      </c>
      <c r="BP164" s="293">
        <f t="shared" si="140"/>
        <v>5.0922985101708758</v>
      </c>
      <c r="BQ164" s="293">
        <f t="shared" si="140"/>
        <v>1.4589679502079553</v>
      </c>
      <c r="BR164" s="293">
        <f t="shared" si="140"/>
        <v>0.4180013161998582</v>
      </c>
      <c r="BS164" s="293">
        <f t="shared" si="140"/>
        <v>0.11975938218513246</v>
      </c>
      <c r="BT164" s="1091">
        <f t="shared" si="125"/>
        <v>52.714260000000003</v>
      </c>
      <c r="BU164" s="293">
        <f t="shared" ref="BU164:CJ164" si="141">$CH109+(($BU109-$CH109-$BY109-$BZ109-$CA109)*EXP(-$E$99*$E$88*BU$160))+($BY109*EXP(-$E$98*$E$88*BU$160))+($BZ109*EXP(-$E$98*$E$88*BU$160))+($CA109*EXP(-$E$98*$E$88*BU$160))</f>
        <v>54.259345089260584</v>
      </c>
      <c r="BV164" s="293">
        <f t="shared" si="141"/>
        <v>52.428897303277338</v>
      </c>
      <c r="BW164" s="293">
        <f t="shared" si="141"/>
        <v>49.25261985892255</v>
      </c>
      <c r="BX164" s="293">
        <f t="shared" si="141"/>
        <v>46.268554491267409</v>
      </c>
      <c r="BY164" s="293">
        <f t="shared" si="141"/>
        <v>43.465284486595131</v>
      </c>
      <c r="BZ164" s="293">
        <f t="shared" si="141"/>
        <v>40.831856025611387</v>
      </c>
      <c r="CA164" s="293">
        <f t="shared" si="141"/>
        <v>38.357978929378469</v>
      </c>
      <c r="CB164" s="293">
        <f t="shared" si="141"/>
        <v>36.033986469382192</v>
      </c>
      <c r="CC164" s="293">
        <f t="shared" si="141"/>
        <v>33.850797594581671</v>
      </c>
      <c r="CD164" s="293">
        <f t="shared" si="141"/>
        <v>31.799881447005006</v>
      </c>
      <c r="CE164" s="293">
        <f t="shared" si="141"/>
        <v>29.8732240272364</v>
      </c>
      <c r="CF164" s="293">
        <f t="shared" si="141"/>
        <v>15.989984567286378</v>
      </c>
      <c r="CG164" s="293">
        <f t="shared" si="141"/>
        <v>4.5812072802479582</v>
      </c>
      <c r="CH164" s="293">
        <f t="shared" si="141"/>
        <v>1.3125378612018652</v>
      </c>
      <c r="CI164" s="293">
        <f t="shared" si="141"/>
        <v>0.37604839329494877</v>
      </c>
      <c r="CJ164" s="1100">
        <f t="shared" si="141"/>
        <v>0.10773966853057018</v>
      </c>
    </row>
    <row r="165" spans="2:88" ht="18">
      <c r="B165" s="302"/>
      <c r="C165" s="223">
        <f t="shared" si="116"/>
        <v>0</v>
      </c>
      <c r="D165" s="295">
        <f t="shared" si="117"/>
        <v>61.141547999999993</v>
      </c>
      <c r="E165" s="293">
        <f t="shared" ref="E165:T165" si="142">$R110+(($E110-$R110-$I110-$J110-$K110)*EXP(-$E$99*$E$88*E$160))+($I110*EXP(-$E$98*$E$88*E$160))+($J110*EXP(-$E$98*$E$88*E$160))+($K110*EXP(-$E$98*$E$88*E$160))</f>
        <v>62.476160305498937</v>
      </c>
      <c r="F165" s="293">
        <f t="shared" si="142"/>
        <v>60.100376444754623</v>
      </c>
      <c r="G165" s="293">
        <f t="shared" si="142"/>
        <v>56.459288278855958</v>
      </c>
      <c r="H165" s="293">
        <f t="shared" si="142"/>
        <v>53.03859294279976</v>
      </c>
      <c r="I165" s="293">
        <f t="shared" si="142"/>
        <v>49.825147043714018</v>
      </c>
      <c r="J165" s="293">
        <f t="shared" si="142"/>
        <v>46.806393989467182</v>
      </c>
      <c r="K165" s="293">
        <f t="shared" si="142"/>
        <v>43.970537936899632</v>
      </c>
      <c r="L165" s="293">
        <f t="shared" si="142"/>
        <v>41.306497716859013</v>
      </c>
      <c r="M165" s="293">
        <f t="shared" si="142"/>
        <v>38.803863534292368</v>
      </c>
      <c r="N165" s="293">
        <f t="shared" si="142"/>
        <v>36.452856291745739</v>
      </c>
      <c r="O165" s="293">
        <f t="shared" si="142"/>
        <v>34.24428937732835</v>
      </c>
      <c r="P165" s="293">
        <f t="shared" si="142"/>
        <v>18.329647250726453</v>
      </c>
      <c r="Q165" s="293">
        <f t="shared" si="142"/>
        <v>5.2515318620883251</v>
      </c>
      <c r="R165" s="293">
        <f t="shared" si="142"/>
        <v>1.5045890693524313</v>
      </c>
      <c r="S165" s="293">
        <f t="shared" si="142"/>
        <v>0.4310719856728808</v>
      </c>
      <c r="T165" s="293">
        <f t="shared" si="142"/>
        <v>0.1235041916873275</v>
      </c>
      <c r="U165" s="1091">
        <f t="shared" si="119"/>
        <v>61.141547999999993</v>
      </c>
      <c r="V165" s="293">
        <f t="shared" ref="V165:AK165" si="143">$AI110+(($V110-$AI110-$Z110-$AA110-$AB110)*EXP(-$E$99*$E$88*V$160))+($Z110*EXP(-$E$98*$E$88*V$160))+($AA110*EXP(-$E$98*$E$88*V$160))+($AB110*EXP(-$E$98*$E$88*V$160))</f>
        <v>62.956515787710607</v>
      </c>
      <c r="W165" s="293">
        <f t="shared" si="143"/>
        <v>60.84607456517152</v>
      </c>
      <c r="X165" s="293">
        <f t="shared" si="143"/>
        <v>57.159865512751978</v>
      </c>
      <c r="Y165" s="293">
        <f t="shared" si="143"/>
        <v>53.696724352448811</v>
      </c>
      <c r="Z165" s="293">
        <f t="shared" si="143"/>
        <v>50.443404286986542</v>
      </c>
      <c r="AA165" s="293">
        <f t="shared" si="143"/>
        <v>47.387192919976442</v>
      </c>
      <c r="AB165" s="293">
        <f t="shared" si="143"/>
        <v>44.516148039088129</v>
      </c>
      <c r="AC165" s="293">
        <f t="shared" si="143"/>
        <v>41.81905097405788</v>
      </c>
      <c r="AD165" s="293">
        <f t="shared" si="143"/>
        <v>39.285362759492578</v>
      </c>
      <c r="AE165" s="293">
        <f t="shared" si="143"/>
        <v>36.905182953633386</v>
      </c>
      <c r="AF165" s="293">
        <f t="shared" si="143"/>
        <v>34.66921095216442</v>
      </c>
      <c r="AG165" s="293">
        <f t="shared" si="143"/>
        <v>18.557091379881747</v>
      </c>
      <c r="AH165" s="293">
        <f t="shared" si="143"/>
        <v>5.3166956961090053</v>
      </c>
      <c r="AI165" s="293">
        <f t="shared" si="143"/>
        <v>1.5232588203811572</v>
      </c>
      <c r="AJ165" s="293">
        <f t="shared" si="143"/>
        <v>0.43642095889879629</v>
      </c>
      <c r="AK165" s="293">
        <f t="shared" si="143"/>
        <v>0.12503669817482901</v>
      </c>
      <c r="AL165" s="1091">
        <f t="shared" si="121"/>
        <v>60.656366999999996</v>
      </c>
      <c r="AM165" s="293">
        <f t="shared" ref="AM165:BB165" si="144">$AZ110+(($AM110-$AZ110-$AQ110-$AR110-$AS110)*EXP(-$E$99*$E$88*AM$160))+($AQ110*EXP(-$E$98*$E$88*AM$160))+($AR110*EXP(-$E$98*$E$88*AM$160))+($AS110*EXP(-$E$98*$E$88*AM$160))</f>
        <v>62.547702566192342</v>
      </c>
      <c r="AN165" s="293">
        <f t="shared" si="144"/>
        <v>60.504148871912967</v>
      </c>
      <c r="AO165" s="293">
        <f t="shared" si="144"/>
        <v>56.83866500956173</v>
      </c>
      <c r="AP165" s="293">
        <f t="shared" si="144"/>
        <v>53.394984404674652</v>
      </c>
      <c r="AQ165" s="293">
        <f t="shared" si="144"/>
        <v>50.159945838474904</v>
      </c>
      <c r="AR165" s="293">
        <f t="shared" si="144"/>
        <v>47.12090835067977</v>
      </c>
      <c r="AS165" s="293">
        <f t="shared" si="144"/>
        <v>44.265996836265174</v>
      </c>
      <c r="AT165" s="293">
        <f t="shared" si="144"/>
        <v>41.58405566644749</v>
      </c>
      <c r="AU165" s="293">
        <f t="shared" si="144"/>
        <v>39.06460509782351</v>
      </c>
      <c r="AV165" s="293">
        <f t="shared" si="144"/>
        <v>36.697800322545305</v>
      </c>
      <c r="AW165" s="293">
        <f t="shared" si="144"/>
        <v>34.474392999519644</v>
      </c>
      <c r="AX165" s="293">
        <f t="shared" si="144"/>
        <v>18.452812844247962</v>
      </c>
      <c r="AY165" s="293">
        <f t="shared" si="144"/>
        <v>5.2868193954403688</v>
      </c>
      <c r="AZ165" s="293">
        <f t="shared" si="144"/>
        <v>1.5146991169271558</v>
      </c>
      <c r="BA165" s="293">
        <f t="shared" si="144"/>
        <v>0.43396856279952412</v>
      </c>
      <c r="BB165" s="293">
        <f t="shared" si="144"/>
        <v>0.12433407492858632</v>
      </c>
      <c r="BC165" s="1091">
        <f t="shared" si="123"/>
        <v>58.492722000000008</v>
      </c>
      <c r="BD165" s="293">
        <f t="shared" ref="BD165:BS165" si="145">$BQ110+(($BD110-$BQ110-$BH110-$BI110-$BJ110)*EXP(-$E$99*$E$88*BD$160))+($BH110*EXP(-$E$98*$E$88*BD$160))+($BI110*EXP(-$E$98*$E$88*BD$160))+($BJ110*EXP(-$E$98*$E$88*BD$160))</f>
        <v>60.272826415226412</v>
      </c>
      <c r="BE165" s="293">
        <f t="shared" si="145"/>
        <v>58.277991444872725</v>
      </c>
      <c r="BF165" s="293">
        <f t="shared" si="145"/>
        <v>54.747368408338367</v>
      </c>
      <c r="BG165" s="293">
        <f t="shared" si="145"/>
        <v>51.430393058069214</v>
      </c>
      <c r="BH165" s="293">
        <f t="shared" si="145"/>
        <v>48.31438306438335</v>
      </c>
      <c r="BI165" s="293">
        <f t="shared" si="145"/>
        <v>45.387162572455885</v>
      </c>
      <c r="BJ165" s="293">
        <f t="shared" si="145"/>
        <v>42.637293404603938</v>
      </c>
      <c r="BK165" s="293">
        <f t="shared" si="145"/>
        <v>40.054030387295796</v>
      </c>
      <c r="BL165" s="293">
        <f t="shared" si="145"/>
        <v>37.627279364153573</v>
      </c>
      <c r="BM165" s="293">
        <f t="shared" si="145"/>
        <v>35.347557752817799</v>
      </c>
      <c r="BN165" s="293">
        <f t="shared" si="145"/>
        <v>33.205957491550791</v>
      </c>
      <c r="BO165" s="293">
        <f t="shared" si="145"/>
        <v>17.773868242268342</v>
      </c>
      <c r="BP165" s="293">
        <f t="shared" si="145"/>
        <v>5.0922985101708758</v>
      </c>
      <c r="BQ165" s="293">
        <f t="shared" si="145"/>
        <v>1.4589679502079553</v>
      </c>
      <c r="BR165" s="293">
        <f t="shared" si="145"/>
        <v>0.4180013161998582</v>
      </c>
      <c r="BS165" s="293">
        <f t="shared" si="145"/>
        <v>0.11975938218513246</v>
      </c>
      <c r="BT165" s="1091">
        <f t="shared" si="125"/>
        <v>52.714260000000003</v>
      </c>
      <c r="BU165" s="293">
        <f t="shared" ref="BU165:CJ165" si="146">$CH110+(($BU110-$CH110-$BY110-$BZ110-$CA110)*EXP(-$E$99*$E$88*BU$160))+($BY110*EXP(-$E$98*$E$88*BU$160))+($BZ110*EXP(-$E$98*$E$88*BU$160))+($CA110*EXP(-$E$98*$E$88*BU$160))</f>
        <v>54.259345089260584</v>
      </c>
      <c r="BV165" s="293">
        <f t="shared" si="146"/>
        <v>52.428897303277338</v>
      </c>
      <c r="BW165" s="293">
        <f t="shared" si="146"/>
        <v>49.25261985892255</v>
      </c>
      <c r="BX165" s="293">
        <f t="shared" si="146"/>
        <v>46.268554491267409</v>
      </c>
      <c r="BY165" s="293">
        <f t="shared" si="146"/>
        <v>43.465284486595131</v>
      </c>
      <c r="BZ165" s="293">
        <f t="shared" si="146"/>
        <v>40.831856025611387</v>
      </c>
      <c r="CA165" s="293">
        <f t="shared" si="146"/>
        <v>38.357978929378469</v>
      </c>
      <c r="CB165" s="293">
        <f t="shared" si="146"/>
        <v>36.033986469382192</v>
      </c>
      <c r="CC165" s="293">
        <f t="shared" si="146"/>
        <v>33.850797594581671</v>
      </c>
      <c r="CD165" s="293">
        <f t="shared" si="146"/>
        <v>31.799881447005006</v>
      </c>
      <c r="CE165" s="293">
        <f t="shared" si="146"/>
        <v>29.8732240272364</v>
      </c>
      <c r="CF165" s="293">
        <f t="shared" si="146"/>
        <v>15.989984567286378</v>
      </c>
      <c r="CG165" s="293">
        <f t="shared" si="146"/>
        <v>4.5812072802479582</v>
      </c>
      <c r="CH165" s="293">
        <f t="shared" si="146"/>
        <v>1.3125378612018652</v>
      </c>
      <c r="CI165" s="293">
        <f t="shared" si="146"/>
        <v>0.37604839329494877</v>
      </c>
      <c r="CJ165" s="1100">
        <f t="shared" si="146"/>
        <v>0.10773966853057018</v>
      </c>
    </row>
    <row r="166" spans="2:88" ht="18">
      <c r="B166" s="302"/>
      <c r="C166" s="223">
        <f t="shared" si="116"/>
        <v>0</v>
      </c>
      <c r="D166" s="295">
        <f t="shared" si="117"/>
        <v>61.141547999999993</v>
      </c>
      <c r="E166" s="293">
        <f t="shared" ref="E166:T166" si="147">$R111+(($E111-$R111-$I111-$J111-$K111)*EXP(-$E$99*$E$88*E$160))+($I111*EXP(-$E$98*$E$88*E$160))+($J111*EXP(-$E$98*$E$88*E$160))+($K111*EXP(-$E$98*$E$88*E$160))</f>
        <v>62.476160305498937</v>
      </c>
      <c r="F166" s="293">
        <f t="shared" si="147"/>
        <v>60.100376444754623</v>
      </c>
      <c r="G166" s="293">
        <f t="shared" si="147"/>
        <v>56.459288278855958</v>
      </c>
      <c r="H166" s="293">
        <f t="shared" si="147"/>
        <v>53.03859294279976</v>
      </c>
      <c r="I166" s="293">
        <f t="shared" si="147"/>
        <v>49.825147043714018</v>
      </c>
      <c r="J166" s="293">
        <f t="shared" si="147"/>
        <v>46.806393989467182</v>
      </c>
      <c r="K166" s="293">
        <f t="shared" si="147"/>
        <v>43.970537936899632</v>
      </c>
      <c r="L166" s="293">
        <f t="shared" si="147"/>
        <v>41.306497716859013</v>
      </c>
      <c r="M166" s="293">
        <f t="shared" si="147"/>
        <v>38.803863534292368</v>
      </c>
      <c r="N166" s="293">
        <f t="shared" si="147"/>
        <v>36.452856291745739</v>
      </c>
      <c r="O166" s="293">
        <f t="shared" si="147"/>
        <v>34.24428937732835</v>
      </c>
      <c r="P166" s="293">
        <f t="shared" si="147"/>
        <v>18.329647250726453</v>
      </c>
      <c r="Q166" s="293">
        <f t="shared" si="147"/>
        <v>5.2515318620883251</v>
      </c>
      <c r="R166" s="293">
        <f t="shared" si="147"/>
        <v>1.5045890693524313</v>
      </c>
      <c r="S166" s="293">
        <f t="shared" si="147"/>
        <v>0.4310719856728808</v>
      </c>
      <c r="T166" s="293">
        <f t="shared" si="147"/>
        <v>0.1235041916873275</v>
      </c>
      <c r="U166" s="1091">
        <f t="shared" si="119"/>
        <v>61.141547999999993</v>
      </c>
      <c r="V166" s="293">
        <f t="shared" ref="V166:AK166" si="148">$AI111+(($V111-$AI111-$Z111-$AA111-$AB111)*EXP(-$E$99*$E$88*V$160))+($Z111*EXP(-$E$98*$E$88*V$160))+($AA111*EXP(-$E$98*$E$88*V$160))+($AB111*EXP(-$E$98*$E$88*V$160))</f>
        <v>62.956515787710607</v>
      </c>
      <c r="W166" s="293">
        <f t="shared" si="148"/>
        <v>60.84607456517152</v>
      </c>
      <c r="X166" s="293">
        <f t="shared" si="148"/>
        <v>57.159865512751978</v>
      </c>
      <c r="Y166" s="293">
        <f t="shared" si="148"/>
        <v>53.696724352448811</v>
      </c>
      <c r="Z166" s="293">
        <f t="shared" si="148"/>
        <v>50.443404286986542</v>
      </c>
      <c r="AA166" s="293">
        <f t="shared" si="148"/>
        <v>47.387192919976442</v>
      </c>
      <c r="AB166" s="293">
        <f t="shared" si="148"/>
        <v>44.516148039088129</v>
      </c>
      <c r="AC166" s="293">
        <f t="shared" si="148"/>
        <v>41.81905097405788</v>
      </c>
      <c r="AD166" s="293">
        <f t="shared" si="148"/>
        <v>39.285362759492578</v>
      </c>
      <c r="AE166" s="293">
        <f t="shared" si="148"/>
        <v>36.905182953633386</v>
      </c>
      <c r="AF166" s="293">
        <f t="shared" si="148"/>
        <v>34.66921095216442</v>
      </c>
      <c r="AG166" s="293">
        <f t="shared" si="148"/>
        <v>18.557091379881747</v>
      </c>
      <c r="AH166" s="293">
        <f t="shared" si="148"/>
        <v>5.3166956961090053</v>
      </c>
      <c r="AI166" s="293">
        <f t="shared" si="148"/>
        <v>1.5232588203811572</v>
      </c>
      <c r="AJ166" s="293">
        <f t="shared" si="148"/>
        <v>0.43642095889879629</v>
      </c>
      <c r="AK166" s="293">
        <f t="shared" si="148"/>
        <v>0.12503669817482901</v>
      </c>
      <c r="AL166" s="1091">
        <f t="shared" si="121"/>
        <v>60.656366999999996</v>
      </c>
      <c r="AM166" s="293">
        <f t="shared" ref="AM166:BB166" si="149">$AZ111+(($AM111-$AZ111-$AQ111-$AR111-$AS111)*EXP(-$E$99*$E$88*AM$160))+($AQ111*EXP(-$E$98*$E$88*AM$160))+($AR111*EXP(-$E$98*$E$88*AM$160))+($AS111*EXP(-$E$98*$E$88*AM$160))</f>
        <v>62.547702566192342</v>
      </c>
      <c r="AN166" s="293">
        <f t="shared" si="149"/>
        <v>60.504148871912967</v>
      </c>
      <c r="AO166" s="293">
        <f t="shared" si="149"/>
        <v>56.83866500956173</v>
      </c>
      <c r="AP166" s="293">
        <f t="shared" si="149"/>
        <v>53.394984404674652</v>
      </c>
      <c r="AQ166" s="293">
        <f t="shared" si="149"/>
        <v>50.159945838474904</v>
      </c>
      <c r="AR166" s="293">
        <f t="shared" si="149"/>
        <v>47.12090835067977</v>
      </c>
      <c r="AS166" s="293">
        <f t="shared" si="149"/>
        <v>44.265996836265174</v>
      </c>
      <c r="AT166" s="293">
        <f t="shared" si="149"/>
        <v>41.58405566644749</v>
      </c>
      <c r="AU166" s="293">
        <f t="shared" si="149"/>
        <v>39.06460509782351</v>
      </c>
      <c r="AV166" s="293">
        <f t="shared" si="149"/>
        <v>36.697800322545305</v>
      </c>
      <c r="AW166" s="293">
        <f t="shared" si="149"/>
        <v>34.474392999519644</v>
      </c>
      <c r="AX166" s="293">
        <f t="shared" si="149"/>
        <v>18.452812844247962</v>
      </c>
      <c r="AY166" s="293">
        <f t="shared" si="149"/>
        <v>5.2868193954403688</v>
      </c>
      <c r="AZ166" s="293">
        <f t="shared" si="149"/>
        <v>1.5146991169271558</v>
      </c>
      <c r="BA166" s="293">
        <f t="shared" si="149"/>
        <v>0.43396856279952412</v>
      </c>
      <c r="BB166" s="293">
        <f t="shared" si="149"/>
        <v>0.12433407492858632</v>
      </c>
      <c r="BC166" s="1091">
        <f t="shared" si="123"/>
        <v>58.492722000000008</v>
      </c>
      <c r="BD166" s="293">
        <f t="shared" ref="BD166:BS166" si="150">$BQ111+(($BD111-$BQ111-$BH111-$BI111-$BJ111)*EXP(-$E$99*$E$88*BD$160))+($BH111*EXP(-$E$98*$E$88*BD$160))+($BI111*EXP(-$E$98*$E$88*BD$160))+($BJ111*EXP(-$E$98*$E$88*BD$160))</f>
        <v>60.272826415226412</v>
      </c>
      <c r="BE166" s="293">
        <f t="shared" si="150"/>
        <v>58.277991444872725</v>
      </c>
      <c r="BF166" s="293">
        <f t="shared" si="150"/>
        <v>54.747368408338367</v>
      </c>
      <c r="BG166" s="293">
        <f t="shared" si="150"/>
        <v>51.430393058069214</v>
      </c>
      <c r="BH166" s="293">
        <f t="shared" si="150"/>
        <v>48.31438306438335</v>
      </c>
      <c r="BI166" s="293">
        <f t="shared" si="150"/>
        <v>45.387162572455885</v>
      </c>
      <c r="BJ166" s="293">
        <f t="shared" si="150"/>
        <v>42.637293404603938</v>
      </c>
      <c r="BK166" s="293">
        <f t="shared" si="150"/>
        <v>40.054030387295796</v>
      </c>
      <c r="BL166" s="293">
        <f t="shared" si="150"/>
        <v>37.627279364153573</v>
      </c>
      <c r="BM166" s="293">
        <f t="shared" si="150"/>
        <v>35.347557752817799</v>
      </c>
      <c r="BN166" s="293">
        <f t="shared" si="150"/>
        <v>33.205957491550791</v>
      </c>
      <c r="BO166" s="293">
        <f t="shared" si="150"/>
        <v>17.773868242268342</v>
      </c>
      <c r="BP166" s="293">
        <f t="shared" si="150"/>
        <v>5.0922985101708758</v>
      </c>
      <c r="BQ166" s="293">
        <f t="shared" si="150"/>
        <v>1.4589679502079553</v>
      </c>
      <c r="BR166" s="293">
        <f t="shared" si="150"/>
        <v>0.4180013161998582</v>
      </c>
      <c r="BS166" s="293">
        <f t="shared" si="150"/>
        <v>0.11975938218513246</v>
      </c>
      <c r="BT166" s="1091">
        <f t="shared" si="125"/>
        <v>52.714260000000003</v>
      </c>
      <c r="BU166" s="293">
        <f t="shared" ref="BU166:CJ166" si="151">$CH111+(($BU111-$CH111-$BY111-$BZ111-$CA111)*EXP(-$E$99*$E$88*BU$160))+($BY111*EXP(-$E$98*$E$88*BU$160))+($BZ111*EXP(-$E$98*$E$88*BU$160))+($CA111*EXP(-$E$98*$E$88*BU$160))</f>
        <v>54.259345089260584</v>
      </c>
      <c r="BV166" s="293">
        <f t="shared" si="151"/>
        <v>52.428897303277338</v>
      </c>
      <c r="BW166" s="293">
        <f t="shared" si="151"/>
        <v>49.25261985892255</v>
      </c>
      <c r="BX166" s="293">
        <f t="shared" si="151"/>
        <v>46.268554491267409</v>
      </c>
      <c r="BY166" s="293">
        <f t="shared" si="151"/>
        <v>43.465284486595131</v>
      </c>
      <c r="BZ166" s="293">
        <f t="shared" si="151"/>
        <v>40.831856025611387</v>
      </c>
      <c r="CA166" s="293">
        <f t="shared" si="151"/>
        <v>38.357978929378469</v>
      </c>
      <c r="CB166" s="293">
        <f t="shared" si="151"/>
        <v>36.033986469382192</v>
      </c>
      <c r="CC166" s="293">
        <f t="shared" si="151"/>
        <v>33.850797594581671</v>
      </c>
      <c r="CD166" s="293">
        <f t="shared" si="151"/>
        <v>31.799881447005006</v>
      </c>
      <c r="CE166" s="293">
        <f t="shared" si="151"/>
        <v>29.8732240272364</v>
      </c>
      <c r="CF166" s="293">
        <f t="shared" si="151"/>
        <v>15.989984567286378</v>
      </c>
      <c r="CG166" s="293">
        <f t="shared" si="151"/>
        <v>4.5812072802479582</v>
      </c>
      <c r="CH166" s="293">
        <f t="shared" si="151"/>
        <v>1.3125378612018652</v>
      </c>
      <c r="CI166" s="293">
        <f t="shared" si="151"/>
        <v>0.37604839329494877</v>
      </c>
      <c r="CJ166" s="1100">
        <f t="shared" si="151"/>
        <v>0.10773966853057018</v>
      </c>
    </row>
    <row r="167" spans="2:88" ht="18">
      <c r="B167" s="302"/>
      <c r="C167" s="223">
        <f t="shared" si="116"/>
        <v>0</v>
      </c>
      <c r="D167" s="295">
        <f t="shared" si="117"/>
        <v>61.141547999999993</v>
      </c>
      <c r="E167" s="293">
        <f t="shared" ref="E167:T167" si="152">$R112+(($E112-$R112-$I112-$J112-$K112)*EXP(-$E$99*$E$88*E$160))+($I112*EXP(-$E$98*$E$88*E$160))+($J112*EXP(-$E$98*$E$88*E$160))+($K112*EXP(-$E$98*$E$88*E$160))</f>
        <v>62.476160305498937</v>
      </c>
      <c r="F167" s="293">
        <f t="shared" si="152"/>
        <v>60.100376444754623</v>
      </c>
      <c r="G167" s="293">
        <f t="shared" si="152"/>
        <v>56.459288278855958</v>
      </c>
      <c r="H167" s="293">
        <f t="shared" si="152"/>
        <v>53.03859294279976</v>
      </c>
      <c r="I167" s="293">
        <f t="shared" si="152"/>
        <v>49.825147043714018</v>
      </c>
      <c r="J167" s="293">
        <f t="shared" si="152"/>
        <v>46.806393989467182</v>
      </c>
      <c r="K167" s="293">
        <f t="shared" si="152"/>
        <v>43.970537936899632</v>
      </c>
      <c r="L167" s="293">
        <f t="shared" si="152"/>
        <v>41.306497716859013</v>
      </c>
      <c r="M167" s="293">
        <f t="shared" si="152"/>
        <v>38.803863534292368</v>
      </c>
      <c r="N167" s="293">
        <f t="shared" si="152"/>
        <v>36.452856291745739</v>
      </c>
      <c r="O167" s="293">
        <f t="shared" si="152"/>
        <v>34.24428937732835</v>
      </c>
      <c r="P167" s="293">
        <f t="shared" si="152"/>
        <v>18.329647250726453</v>
      </c>
      <c r="Q167" s="293">
        <f t="shared" si="152"/>
        <v>5.2515318620883251</v>
      </c>
      <c r="R167" s="293">
        <f t="shared" si="152"/>
        <v>1.5045890693524313</v>
      </c>
      <c r="S167" s="293">
        <f t="shared" si="152"/>
        <v>0.4310719856728808</v>
      </c>
      <c r="T167" s="293">
        <f t="shared" si="152"/>
        <v>0.1235041916873275</v>
      </c>
      <c r="U167" s="1091">
        <f t="shared" si="119"/>
        <v>61.141547999999993</v>
      </c>
      <c r="V167" s="293">
        <f t="shared" ref="V167:AK167" si="153">$AI112+(($V112-$AI112-$Z112-$AA112-$AB112)*EXP(-$E$99*$E$88*V$160))+($Z112*EXP(-$E$98*$E$88*V$160))+($AA112*EXP(-$E$98*$E$88*V$160))+($AB112*EXP(-$E$98*$E$88*V$160))</f>
        <v>62.956515787710607</v>
      </c>
      <c r="W167" s="293">
        <f t="shared" si="153"/>
        <v>60.84607456517152</v>
      </c>
      <c r="X167" s="293">
        <f t="shared" si="153"/>
        <v>57.159865512751978</v>
      </c>
      <c r="Y167" s="293">
        <f t="shared" si="153"/>
        <v>53.696724352448811</v>
      </c>
      <c r="Z167" s="293">
        <f t="shared" si="153"/>
        <v>50.443404286986542</v>
      </c>
      <c r="AA167" s="293">
        <f t="shared" si="153"/>
        <v>47.387192919976442</v>
      </c>
      <c r="AB167" s="293">
        <f t="shared" si="153"/>
        <v>44.516148039088129</v>
      </c>
      <c r="AC167" s="293">
        <f t="shared" si="153"/>
        <v>41.81905097405788</v>
      </c>
      <c r="AD167" s="293">
        <f t="shared" si="153"/>
        <v>39.285362759492578</v>
      </c>
      <c r="AE167" s="293">
        <f t="shared" si="153"/>
        <v>36.905182953633386</v>
      </c>
      <c r="AF167" s="293">
        <f t="shared" si="153"/>
        <v>34.66921095216442</v>
      </c>
      <c r="AG167" s="293">
        <f t="shared" si="153"/>
        <v>18.557091379881747</v>
      </c>
      <c r="AH167" s="293">
        <f t="shared" si="153"/>
        <v>5.3166956961090053</v>
      </c>
      <c r="AI167" s="293">
        <f t="shared" si="153"/>
        <v>1.5232588203811572</v>
      </c>
      <c r="AJ167" s="293">
        <f t="shared" si="153"/>
        <v>0.43642095889879629</v>
      </c>
      <c r="AK167" s="293">
        <f t="shared" si="153"/>
        <v>0.12503669817482901</v>
      </c>
      <c r="AL167" s="1091">
        <f t="shared" si="121"/>
        <v>60.656366999999996</v>
      </c>
      <c r="AM167" s="293">
        <f t="shared" ref="AM167:BB167" si="154">$AZ112+(($AM112-$AZ112-$AQ112-$AR112-$AS112)*EXP(-$E$99*$E$88*AM$160))+($AQ112*EXP(-$E$98*$E$88*AM$160))+($AR112*EXP(-$E$98*$E$88*AM$160))+($AS112*EXP(-$E$98*$E$88*AM$160))</f>
        <v>62.547702566192342</v>
      </c>
      <c r="AN167" s="293">
        <f t="shared" si="154"/>
        <v>60.504148871912967</v>
      </c>
      <c r="AO167" s="293">
        <f t="shared" si="154"/>
        <v>56.83866500956173</v>
      </c>
      <c r="AP167" s="293">
        <f t="shared" si="154"/>
        <v>53.394984404674652</v>
      </c>
      <c r="AQ167" s="293">
        <f t="shared" si="154"/>
        <v>50.159945838474904</v>
      </c>
      <c r="AR167" s="293">
        <f t="shared" si="154"/>
        <v>47.12090835067977</v>
      </c>
      <c r="AS167" s="293">
        <f t="shared" si="154"/>
        <v>44.265996836265174</v>
      </c>
      <c r="AT167" s="293">
        <f t="shared" si="154"/>
        <v>41.58405566644749</v>
      </c>
      <c r="AU167" s="293">
        <f t="shared" si="154"/>
        <v>39.06460509782351</v>
      </c>
      <c r="AV167" s="293">
        <f t="shared" si="154"/>
        <v>36.697800322545305</v>
      </c>
      <c r="AW167" s="293">
        <f t="shared" si="154"/>
        <v>34.474392999519644</v>
      </c>
      <c r="AX167" s="293">
        <f t="shared" si="154"/>
        <v>18.452812844247962</v>
      </c>
      <c r="AY167" s="293">
        <f t="shared" si="154"/>
        <v>5.2868193954403688</v>
      </c>
      <c r="AZ167" s="293">
        <f t="shared" si="154"/>
        <v>1.5146991169271558</v>
      </c>
      <c r="BA167" s="293">
        <f t="shared" si="154"/>
        <v>0.43396856279952412</v>
      </c>
      <c r="BB167" s="293">
        <f t="shared" si="154"/>
        <v>0.12433407492858632</v>
      </c>
      <c r="BC167" s="1091">
        <f t="shared" si="123"/>
        <v>58.492722000000008</v>
      </c>
      <c r="BD167" s="293">
        <f t="shared" ref="BD167:BS167" si="155">$BQ112+(($BD112-$BQ112-$BH112-$BI112-$BJ112)*EXP(-$E$99*$E$88*BD$160))+($BH112*EXP(-$E$98*$E$88*BD$160))+($BI112*EXP(-$E$98*$E$88*BD$160))+($BJ112*EXP(-$E$98*$E$88*BD$160))</f>
        <v>60.272826415226412</v>
      </c>
      <c r="BE167" s="293">
        <f t="shared" si="155"/>
        <v>58.277991444872725</v>
      </c>
      <c r="BF167" s="293">
        <f t="shared" si="155"/>
        <v>54.747368408338367</v>
      </c>
      <c r="BG167" s="293">
        <f t="shared" si="155"/>
        <v>51.430393058069214</v>
      </c>
      <c r="BH167" s="293">
        <f t="shared" si="155"/>
        <v>48.31438306438335</v>
      </c>
      <c r="BI167" s="293">
        <f t="shared" si="155"/>
        <v>45.387162572455885</v>
      </c>
      <c r="BJ167" s="293">
        <f t="shared" si="155"/>
        <v>42.637293404603938</v>
      </c>
      <c r="BK167" s="293">
        <f t="shared" si="155"/>
        <v>40.054030387295796</v>
      </c>
      <c r="BL167" s="293">
        <f t="shared" si="155"/>
        <v>37.627279364153573</v>
      </c>
      <c r="BM167" s="293">
        <f t="shared" si="155"/>
        <v>35.347557752817799</v>
      </c>
      <c r="BN167" s="293">
        <f t="shared" si="155"/>
        <v>33.205957491550791</v>
      </c>
      <c r="BO167" s="293">
        <f t="shared" si="155"/>
        <v>17.773868242268342</v>
      </c>
      <c r="BP167" s="293">
        <f t="shared" si="155"/>
        <v>5.0922985101708758</v>
      </c>
      <c r="BQ167" s="293">
        <f t="shared" si="155"/>
        <v>1.4589679502079553</v>
      </c>
      <c r="BR167" s="293">
        <f t="shared" si="155"/>
        <v>0.4180013161998582</v>
      </c>
      <c r="BS167" s="293">
        <f t="shared" si="155"/>
        <v>0.11975938218513246</v>
      </c>
      <c r="BT167" s="1091">
        <f t="shared" si="125"/>
        <v>52.714260000000003</v>
      </c>
      <c r="BU167" s="293">
        <f t="shared" ref="BU167:CJ167" si="156">$CH112+(($BU112-$CH112-$BY112-$BZ112-$CA112)*EXP(-$E$99*$E$88*BU$160))+($BY112*EXP(-$E$98*$E$88*BU$160))+($BZ112*EXP(-$E$98*$E$88*BU$160))+($CA112*EXP(-$E$98*$E$88*BU$160))</f>
        <v>54.259345089260584</v>
      </c>
      <c r="BV167" s="293">
        <f t="shared" si="156"/>
        <v>52.428897303277338</v>
      </c>
      <c r="BW167" s="293">
        <f t="shared" si="156"/>
        <v>49.25261985892255</v>
      </c>
      <c r="BX167" s="293">
        <f t="shared" si="156"/>
        <v>46.268554491267409</v>
      </c>
      <c r="BY167" s="293">
        <f t="shared" si="156"/>
        <v>43.465284486595131</v>
      </c>
      <c r="BZ167" s="293">
        <f t="shared" si="156"/>
        <v>40.831856025611387</v>
      </c>
      <c r="CA167" s="293">
        <f t="shared" si="156"/>
        <v>38.357978929378469</v>
      </c>
      <c r="CB167" s="293">
        <f t="shared" si="156"/>
        <v>36.033986469382192</v>
      </c>
      <c r="CC167" s="293">
        <f t="shared" si="156"/>
        <v>33.850797594581671</v>
      </c>
      <c r="CD167" s="293">
        <f t="shared" si="156"/>
        <v>31.799881447005006</v>
      </c>
      <c r="CE167" s="293">
        <f t="shared" si="156"/>
        <v>29.8732240272364</v>
      </c>
      <c r="CF167" s="293">
        <f t="shared" si="156"/>
        <v>15.989984567286378</v>
      </c>
      <c r="CG167" s="293">
        <f t="shared" si="156"/>
        <v>4.5812072802479582</v>
      </c>
      <c r="CH167" s="293">
        <f t="shared" si="156"/>
        <v>1.3125378612018652</v>
      </c>
      <c r="CI167" s="293">
        <f t="shared" si="156"/>
        <v>0.37604839329494877</v>
      </c>
      <c r="CJ167" s="1100">
        <f t="shared" si="156"/>
        <v>0.10773966853057018</v>
      </c>
    </row>
    <row r="168" spans="2:88" ht="18">
      <c r="B168" s="302"/>
      <c r="C168" s="223">
        <f t="shared" si="116"/>
        <v>0</v>
      </c>
      <c r="D168" s="295">
        <f t="shared" si="117"/>
        <v>61.141547999999993</v>
      </c>
      <c r="E168" s="293">
        <f t="shared" ref="E168:T168" si="157">$R113+(($E113-$R113-$I113-$J113-$K113)*EXP(-$E$99*$E$88*E$160))+($I113*EXP(-$E$98*$E$88*E$160))+($J113*EXP(-$E$98*$E$88*E$160))+($K113*EXP(-$E$98*$E$88*E$160))</f>
        <v>62.476160305498937</v>
      </c>
      <c r="F168" s="293">
        <f t="shared" si="157"/>
        <v>60.100376444754623</v>
      </c>
      <c r="G168" s="293">
        <f t="shared" si="157"/>
        <v>56.459288278855958</v>
      </c>
      <c r="H168" s="293">
        <f t="shared" si="157"/>
        <v>53.03859294279976</v>
      </c>
      <c r="I168" s="293">
        <f t="shared" si="157"/>
        <v>49.825147043714018</v>
      </c>
      <c r="J168" s="293">
        <f t="shared" si="157"/>
        <v>46.806393989467182</v>
      </c>
      <c r="K168" s="293">
        <f t="shared" si="157"/>
        <v>43.970537936899632</v>
      </c>
      <c r="L168" s="293">
        <f t="shared" si="157"/>
        <v>41.306497716859013</v>
      </c>
      <c r="M168" s="293">
        <f t="shared" si="157"/>
        <v>38.803863534292368</v>
      </c>
      <c r="N168" s="293">
        <f t="shared" si="157"/>
        <v>36.452856291745739</v>
      </c>
      <c r="O168" s="293">
        <f t="shared" si="157"/>
        <v>34.24428937732835</v>
      </c>
      <c r="P168" s="293">
        <f t="shared" si="157"/>
        <v>18.329647250726453</v>
      </c>
      <c r="Q168" s="293">
        <f t="shared" si="157"/>
        <v>5.2515318620883251</v>
      </c>
      <c r="R168" s="293">
        <f t="shared" si="157"/>
        <v>1.5045890693524313</v>
      </c>
      <c r="S168" s="293">
        <f t="shared" si="157"/>
        <v>0.4310719856728808</v>
      </c>
      <c r="T168" s="293">
        <f t="shared" si="157"/>
        <v>0.1235041916873275</v>
      </c>
      <c r="U168" s="1091">
        <f t="shared" si="119"/>
        <v>61.141547999999993</v>
      </c>
      <c r="V168" s="293">
        <f t="shared" ref="V168:AK168" si="158">$AI113+(($V113-$AI113-$Z113-$AA113-$AB113)*EXP(-$E$99*$E$88*V$160))+($Z113*EXP(-$E$98*$E$88*V$160))+($AA113*EXP(-$E$98*$E$88*V$160))+($AB113*EXP(-$E$98*$E$88*V$160))</f>
        <v>62.956515787710607</v>
      </c>
      <c r="W168" s="293">
        <f t="shared" si="158"/>
        <v>60.84607456517152</v>
      </c>
      <c r="X168" s="293">
        <f t="shared" si="158"/>
        <v>57.159865512751978</v>
      </c>
      <c r="Y168" s="293">
        <f t="shared" si="158"/>
        <v>53.696724352448811</v>
      </c>
      <c r="Z168" s="293">
        <f t="shared" si="158"/>
        <v>50.443404286986542</v>
      </c>
      <c r="AA168" s="293">
        <f t="shared" si="158"/>
        <v>47.387192919976442</v>
      </c>
      <c r="AB168" s="293">
        <f t="shared" si="158"/>
        <v>44.516148039088129</v>
      </c>
      <c r="AC168" s="293">
        <f t="shared" si="158"/>
        <v>41.81905097405788</v>
      </c>
      <c r="AD168" s="293">
        <f t="shared" si="158"/>
        <v>39.285362759492578</v>
      </c>
      <c r="AE168" s="293">
        <f t="shared" si="158"/>
        <v>36.905182953633386</v>
      </c>
      <c r="AF168" s="293">
        <f t="shared" si="158"/>
        <v>34.66921095216442</v>
      </c>
      <c r="AG168" s="293">
        <f t="shared" si="158"/>
        <v>18.557091379881747</v>
      </c>
      <c r="AH168" s="293">
        <f t="shared" si="158"/>
        <v>5.3166956961090053</v>
      </c>
      <c r="AI168" s="293">
        <f t="shared" si="158"/>
        <v>1.5232588203811572</v>
      </c>
      <c r="AJ168" s="293">
        <f t="shared" si="158"/>
        <v>0.43642095889879629</v>
      </c>
      <c r="AK168" s="293">
        <f t="shared" si="158"/>
        <v>0.12503669817482901</v>
      </c>
      <c r="AL168" s="1091">
        <f t="shared" si="121"/>
        <v>60.656366999999996</v>
      </c>
      <c r="AM168" s="293">
        <f t="shared" ref="AM168:BB168" si="159">$AZ113+(($AM113-$AZ113-$AQ113-$AR113-$AS113)*EXP(-$E$99*$E$88*AM$160))+($AQ113*EXP(-$E$98*$E$88*AM$160))+($AR113*EXP(-$E$98*$E$88*AM$160))+($AS113*EXP(-$E$98*$E$88*AM$160))</f>
        <v>62.547702566192342</v>
      </c>
      <c r="AN168" s="293">
        <f t="shared" si="159"/>
        <v>60.504148871912967</v>
      </c>
      <c r="AO168" s="293">
        <f t="shared" si="159"/>
        <v>56.83866500956173</v>
      </c>
      <c r="AP168" s="293">
        <f t="shared" si="159"/>
        <v>53.394984404674652</v>
      </c>
      <c r="AQ168" s="293">
        <f t="shared" si="159"/>
        <v>50.159945838474904</v>
      </c>
      <c r="AR168" s="293">
        <f t="shared" si="159"/>
        <v>47.12090835067977</v>
      </c>
      <c r="AS168" s="293">
        <f t="shared" si="159"/>
        <v>44.265996836265174</v>
      </c>
      <c r="AT168" s="293">
        <f t="shared" si="159"/>
        <v>41.58405566644749</v>
      </c>
      <c r="AU168" s="293">
        <f t="shared" si="159"/>
        <v>39.06460509782351</v>
      </c>
      <c r="AV168" s="293">
        <f t="shared" si="159"/>
        <v>36.697800322545305</v>
      </c>
      <c r="AW168" s="293">
        <f t="shared" si="159"/>
        <v>34.474392999519644</v>
      </c>
      <c r="AX168" s="293">
        <f t="shared" si="159"/>
        <v>18.452812844247962</v>
      </c>
      <c r="AY168" s="293">
        <f t="shared" si="159"/>
        <v>5.2868193954403688</v>
      </c>
      <c r="AZ168" s="293">
        <f t="shared" si="159"/>
        <v>1.5146991169271558</v>
      </c>
      <c r="BA168" s="293">
        <f t="shared" si="159"/>
        <v>0.43396856279952412</v>
      </c>
      <c r="BB168" s="293">
        <f t="shared" si="159"/>
        <v>0.12433407492858632</v>
      </c>
      <c r="BC168" s="1091">
        <f t="shared" si="123"/>
        <v>58.492722000000008</v>
      </c>
      <c r="BD168" s="293">
        <f t="shared" ref="BD168:BS168" si="160">$BQ113+(($BD113-$BQ113-$BH113-$BI113-$BJ113)*EXP(-$E$99*$E$88*BD$160))+($BH113*EXP(-$E$98*$E$88*BD$160))+($BI113*EXP(-$E$98*$E$88*BD$160))+($BJ113*EXP(-$E$98*$E$88*BD$160))</f>
        <v>60.272826415226412</v>
      </c>
      <c r="BE168" s="293">
        <f t="shared" si="160"/>
        <v>58.277991444872725</v>
      </c>
      <c r="BF168" s="293">
        <f t="shared" si="160"/>
        <v>54.747368408338367</v>
      </c>
      <c r="BG168" s="293">
        <f t="shared" si="160"/>
        <v>51.430393058069214</v>
      </c>
      <c r="BH168" s="293">
        <f t="shared" si="160"/>
        <v>48.31438306438335</v>
      </c>
      <c r="BI168" s="293">
        <f t="shared" si="160"/>
        <v>45.387162572455885</v>
      </c>
      <c r="BJ168" s="293">
        <f t="shared" si="160"/>
        <v>42.637293404603938</v>
      </c>
      <c r="BK168" s="293">
        <f t="shared" si="160"/>
        <v>40.054030387295796</v>
      </c>
      <c r="BL168" s="293">
        <f t="shared" si="160"/>
        <v>37.627279364153573</v>
      </c>
      <c r="BM168" s="293">
        <f t="shared" si="160"/>
        <v>35.347557752817799</v>
      </c>
      <c r="BN168" s="293">
        <f t="shared" si="160"/>
        <v>33.205957491550791</v>
      </c>
      <c r="BO168" s="293">
        <f t="shared" si="160"/>
        <v>17.773868242268342</v>
      </c>
      <c r="BP168" s="293">
        <f t="shared" si="160"/>
        <v>5.0922985101708758</v>
      </c>
      <c r="BQ168" s="293">
        <f t="shared" si="160"/>
        <v>1.4589679502079553</v>
      </c>
      <c r="BR168" s="293">
        <f t="shared" si="160"/>
        <v>0.4180013161998582</v>
      </c>
      <c r="BS168" s="293">
        <f t="shared" si="160"/>
        <v>0.11975938218513246</v>
      </c>
      <c r="BT168" s="1091">
        <f t="shared" si="125"/>
        <v>52.714260000000003</v>
      </c>
      <c r="BU168" s="293">
        <f t="shared" ref="BU168:CJ168" si="161">$CH113+(($BU113-$CH113-$BY113-$BZ113-$CA113)*EXP(-$E$99*$E$88*BU$160))+($BY113*EXP(-$E$98*$E$88*BU$160))+($BZ113*EXP(-$E$98*$E$88*BU$160))+($CA113*EXP(-$E$98*$E$88*BU$160))</f>
        <v>54.259345089260584</v>
      </c>
      <c r="BV168" s="293">
        <f t="shared" si="161"/>
        <v>52.428897303277338</v>
      </c>
      <c r="BW168" s="293">
        <f t="shared" si="161"/>
        <v>49.25261985892255</v>
      </c>
      <c r="BX168" s="293">
        <f t="shared" si="161"/>
        <v>46.268554491267409</v>
      </c>
      <c r="BY168" s="293">
        <f t="shared" si="161"/>
        <v>43.465284486595131</v>
      </c>
      <c r="BZ168" s="293">
        <f t="shared" si="161"/>
        <v>40.831856025611387</v>
      </c>
      <c r="CA168" s="293">
        <f t="shared" si="161"/>
        <v>38.357978929378469</v>
      </c>
      <c r="CB168" s="293">
        <f t="shared" si="161"/>
        <v>36.033986469382192</v>
      </c>
      <c r="CC168" s="293">
        <f t="shared" si="161"/>
        <v>33.850797594581671</v>
      </c>
      <c r="CD168" s="293">
        <f t="shared" si="161"/>
        <v>31.799881447005006</v>
      </c>
      <c r="CE168" s="293">
        <f t="shared" si="161"/>
        <v>29.8732240272364</v>
      </c>
      <c r="CF168" s="293">
        <f t="shared" si="161"/>
        <v>15.989984567286378</v>
      </c>
      <c r="CG168" s="293">
        <f t="shared" si="161"/>
        <v>4.5812072802479582</v>
      </c>
      <c r="CH168" s="293">
        <f t="shared" si="161"/>
        <v>1.3125378612018652</v>
      </c>
      <c r="CI168" s="293">
        <f t="shared" si="161"/>
        <v>0.37604839329494877</v>
      </c>
      <c r="CJ168" s="1100">
        <f t="shared" si="161"/>
        <v>0.10773966853057018</v>
      </c>
    </row>
    <row r="169" spans="2:88" ht="18">
      <c r="B169" s="302"/>
      <c r="C169" s="223">
        <f t="shared" si="116"/>
        <v>0</v>
      </c>
      <c r="D169" s="295">
        <f t="shared" si="117"/>
        <v>61.141547999999993</v>
      </c>
      <c r="E169" s="293">
        <f t="shared" ref="E169:T169" si="162">$R114+(($E114-$R114-$I114-$J114-$K114)*EXP(-$E$99*$E$88*E$160))+($I114*EXP(-$E$98*$E$88*E$160))+($J114*EXP(-$E$98*$E$88*E$160))+($K114*EXP(-$E$98*$E$88*E$160))</f>
        <v>62.476160305498937</v>
      </c>
      <c r="F169" s="293">
        <f t="shared" si="162"/>
        <v>60.100376444754623</v>
      </c>
      <c r="G169" s="293">
        <f t="shared" si="162"/>
        <v>56.459288278855958</v>
      </c>
      <c r="H169" s="293">
        <f t="shared" si="162"/>
        <v>53.03859294279976</v>
      </c>
      <c r="I169" s="293">
        <f t="shared" si="162"/>
        <v>49.825147043714018</v>
      </c>
      <c r="J169" s="293">
        <f t="shared" si="162"/>
        <v>46.806393989467182</v>
      </c>
      <c r="K169" s="293">
        <f t="shared" si="162"/>
        <v>43.970537936899632</v>
      </c>
      <c r="L169" s="293">
        <f t="shared" si="162"/>
        <v>41.306497716859013</v>
      </c>
      <c r="M169" s="293">
        <f t="shared" si="162"/>
        <v>38.803863534292368</v>
      </c>
      <c r="N169" s="293">
        <f t="shared" si="162"/>
        <v>36.452856291745739</v>
      </c>
      <c r="O169" s="293">
        <f t="shared" si="162"/>
        <v>34.24428937732835</v>
      </c>
      <c r="P169" s="293">
        <f t="shared" si="162"/>
        <v>18.329647250726453</v>
      </c>
      <c r="Q169" s="293">
        <f t="shared" si="162"/>
        <v>5.2515318620883251</v>
      </c>
      <c r="R169" s="293">
        <f t="shared" si="162"/>
        <v>1.5045890693524313</v>
      </c>
      <c r="S169" s="293">
        <f t="shared" si="162"/>
        <v>0.4310719856728808</v>
      </c>
      <c r="T169" s="293">
        <f t="shared" si="162"/>
        <v>0.1235041916873275</v>
      </c>
      <c r="U169" s="1091">
        <f t="shared" si="119"/>
        <v>61.141547999999993</v>
      </c>
      <c r="V169" s="293">
        <f t="shared" ref="V169:AK169" si="163">$AI114+(($V114-$AI114-$Z114-$AA114-$AB114)*EXP(-$E$99*$E$88*V$160))+($Z114*EXP(-$E$98*$E$88*V$160))+($AA114*EXP(-$E$98*$E$88*V$160))+($AB114*EXP(-$E$98*$E$88*V$160))</f>
        <v>62.956515787710607</v>
      </c>
      <c r="W169" s="293">
        <f t="shared" si="163"/>
        <v>60.84607456517152</v>
      </c>
      <c r="X169" s="293">
        <f t="shared" si="163"/>
        <v>57.159865512751978</v>
      </c>
      <c r="Y169" s="293">
        <f t="shared" si="163"/>
        <v>53.696724352448811</v>
      </c>
      <c r="Z169" s="293">
        <f t="shared" si="163"/>
        <v>50.443404286986542</v>
      </c>
      <c r="AA169" s="293">
        <f t="shared" si="163"/>
        <v>47.387192919976442</v>
      </c>
      <c r="AB169" s="293">
        <f t="shared" si="163"/>
        <v>44.516148039088129</v>
      </c>
      <c r="AC169" s="293">
        <f t="shared" si="163"/>
        <v>41.81905097405788</v>
      </c>
      <c r="AD169" s="293">
        <f t="shared" si="163"/>
        <v>39.285362759492578</v>
      </c>
      <c r="AE169" s="293">
        <f t="shared" si="163"/>
        <v>36.905182953633386</v>
      </c>
      <c r="AF169" s="293">
        <f t="shared" si="163"/>
        <v>34.66921095216442</v>
      </c>
      <c r="AG169" s="293">
        <f t="shared" si="163"/>
        <v>18.557091379881747</v>
      </c>
      <c r="AH169" s="293">
        <f t="shared" si="163"/>
        <v>5.3166956961090053</v>
      </c>
      <c r="AI169" s="293">
        <f t="shared" si="163"/>
        <v>1.5232588203811572</v>
      </c>
      <c r="AJ169" s="293">
        <f t="shared" si="163"/>
        <v>0.43642095889879629</v>
      </c>
      <c r="AK169" s="293">
        <f t="shared" si="163"/>
        <v>0.12503669817482901</v>
      </c>
      <c r="AL169" s="1091">
        <f t="shared" si="121"/>
        <v>60.656366999999996</v>
      </c>
      <c r="AM169" s="293">
        <f t="shared" ref="AM169:BB169" si="164">$AZ114+(($AM114-$AZ114-$AQ114-$AR114-$AS114)*EXP(-$E$99*$E$88*AM$160))+($AQ114*EXP(-$E$98*$E$88*AM$160))+($AR114*EXP(-$E$98*$E$88*AM$160))+($AS114*EXP(-$E$98*$E$88*AM$160))</f>
        <v>62.547702566192342</v>
      </c>
      <c r="AN169" s="293">
        <f t="shared" si="164"/>
        <v>60.504148871912967</v>
      </c>
      <c r="AO169" s="293">
        <f t="shared" si="164"/>
        <v>56.83866500956173</v>
      </c>
      <c r="AP169" s="293">
        <f t="shared" si="164"/>
        <v>53.394984404674652</v>
      </c>
      <c r="AQ169" s="293">
        <f t="shared" si="164"/>
        <v>50.159945838474904</v>
      </c>
      <c r="AR169" s="293">
        <f t="shared" si="164"/>
        <v>47.12090835067977</v>
      </c>
      <c r="AS169" s="293">
        <f t="shared" si="164"/>
        <v>44.265996836265174</v>
      </c>
      <c r="AT169" s="293">
        <f t="shared" si="164"/>
        <v>41.58405566644749</v>
      </c>
      <c r="AU169" s="293">
        <f t="shared" si="164"/>
        <v>39.06460509782351</v>
      </c>
      <c r="AV169" s="293">
        <f t="shared" si="164"/>
        <v>36.697800322545305</v>
      </c>
      <c r="AW169" s="293">
        <f t="shared" si="164"/>
        <v>34.474392999519644</v>
      </c>
      <c r="AX169" s="293">
        <f t="shared" si="164"/>
        <v>18.452812844247962</v>
      </c>
      <c r="AY169" s="293">
        <f t="shared" si="164"/>
        <v>5.2868193954403688</v>
      </c>
      <c r="AZ169" s="293">
        <f t="shared" si="164"/>
        <v>1.5146991169271558</v>
      </c>
      <c r="BA169" s="293">
        <f t="shared" si="164"/>
        <v>0.43396856279952412</v>
      </c>
      <c r="BB169" s="293">
        <f t="shared" si="164"/>
        <v>0.12433407492858632</v>
      </c>
      <c r="BC169" s="1091">
        <f t="shared" si="123"/>
        <v>58.492722000000008</v>
      </c>
      <c r="BD169" s="293">
        <f t="shared" ref="BD169:BS169" si="165">$BQ114+(($BD114-$BQ114-$BH114-$BI114-$BJ114)*EXP(-$E$99*$E$88*BD$160))+($BH114*EXP(-$E$98*$E$88*BD$160))+($BI114*EXP(-$E$98*$E$88*BD$160))+($BJ114*EXP(-$E$98*$E$88*BD$160))</f>
        <v>60.272826415226412</v>
      </c>
      <c r="BE169" s="293">
        <f t="shared" si="165"/>
        <v>58.277991444872725</v>
      </c>
      <c r="BF169" s="293">
        <f t="shared" si="165"/>
        <v>54.747368408338367</v>
      </c>
      <c r="BG169" s="293">
        <f t="shared" si="165"/>
        <v>51.430393058069214</v>
      </c>
      <c r="BH169" s="293">
        <f t="shared" si="165"/>
        <v>48.31438306438335</v>
      </c>
      <c r="BI169" s="293">
        <f t="shared" si="165"/>
        <v>45.387162572455885</v>
      </c>
      <c r="BJ169" s="293">
        <f t="shared" si="165"/>
        <v>42.637293404603938</v>
      </c>
      <c r="BK169" s="293">
        <f t="shared" si="165"/>
        <v>40.054030387295796</v>
      </c>
      <c r="BL169" s="293">
        <f t="shared" si="165"/>
        <v>37.627279364153573</v>
      </c>
      <c r="BM169" s="293">
        <f t="shared" si="165"/>
        <v>35.347557752817799</v>
      </c>
      <c r="BN169" s="293">
        <f t="shared" si="165"/>
        <v>33.205957491550791</v>
      </c>
      <c r="BO169" s="293">
        <f t="shared" si="165"/>
        <v>17.773868242268342</v>
      </c>
      <c r="BP169" s="293">
        <f t="shared" si="165"/>
        <v>5.0922985101708758</v>
      </c>
      <c r="BQ169" s="293">
        <f t="shared" si="165"/>
        <v>1.4589679502079553</v>
      </c>
      <c r="BR169" s="293">
        <f t="shared" si="165"/>
        <v>0.4180013161998582</v>
      </c>
      <c r="BS169" s="293">
        <f t="shared" si="165"/>
        <v>0.11975938218513246</v>
      </c>
      <c r="BT169" s="1113">
        <f t="shared" si="125"/>
        <v>52.714260000000003</v>
      </c>
      <c r="BU169" s="293">
        <f t="shared" ref="BU169:CJ169" si="166">$CH114+(($BU114-$CH114-$BY114-$BZ114-$CA114)*EXP(-$E$99*$E$88*BU$160))+($BY114*EXP(-$E$98*$E$88*BU$160))+($BZ114*EXP(-$E$98*$E$88*BU$160))+($CA114*EXP(-$E$98*$E$88*BU$160))</f>
        <v>54.259345089260584</v>
      </c>
      <c r="BV169" s="293">
        <f t="shared" si="166"/>
        <v>52.428897303277338</v>
      </c>
      <c r="BW169" s="293">
        <f t="shared" si="166"/>
        <v>49.25261985892255</v>
      </c>
      <c r="BX169" s="293">
        <f t="shared" si="166"/>
        <v>46.268554491267409</v>
      </c>
      <c r="BY169" s="293">
        <f t="shared" si="166"/>
        <v>43.465284486595131</v>
      </c>
      <c r="BZ169" s="293">
        <f t="shared" si="166"/>
        <v>40.831856025611387</v>
      </c>
      <c r="CA169" s="293">
        <f t="shared" si="166"/>
        <v>38.357978929378469</v>
      </c>
      <c r="CB169" s="293">
        <f t="shared" si="166"/>
        <v>36.033986469382192</v>
      </c>
      <c r="CC169" s="293">
        <f t="shared" si="166"/>
        <v>33.850797594581671</v>
      </c>
      <c r="CD169" s="293">
        <f t="shared" si="166"/>
        <v>31.799881447005006</v>
      </c>
      <c r="CE169" s="293">
        <f t="shared" si="166"/>
        <v>29.8732240272364</v>
      </c>
      <c r="CF169" s="293">
        <f t="shared" si="166"/>
        <v>15.989984567286378</v>
      </c>
      <c r="CG169" s="293">
        <f t="shared" si="166"/>
        <v>4.5812072802479582</v>
      </c>
      <c r="CH169" s="293">
        <f t="shared" si="166"/>
        <v>1.3125378612018652</v>
      </c>
      <c r="CI169" s="293">
        <f t="shared" si="166"/>
        <v>0.37604839329494877</v>
      </c>
      <c r="CJ169" s="1100">
        <f t="shared" si="166"/>
        <v>0.10773966853057018</v>
      </c>
    </row>
    <row r="170" spans="2:88" ht="18">
      <c r="B170" s="302"/>
      <c r="C170" s="223">
        <f t="shared" si="116"/>
        <v>0</v>
      </c>
      <c r="D170" s="295">
        <f t="shared" si="117"/>
        <v>61.141547999999993</v>
      </c>
      <c r="E170" s="293">
        <f t="shared" ref="E170:T170" si="167">$R115+(($E115-$R115-$I115-$J115-$K115)*EXP(-$E$99*$E$88*E$160))+($I115*EXP(-$E$98*$E$88*E$160))+($J115*EXP(-$E$98*$E$88*E$160))+($K115*EXP(-$E$98*$E$88*E$160))</f>
        <v>62.476160305498937</v>
      </c>
      <c r="F170" s="293">
        <f t="shared" si="167"/>
        <v>60.100376444754623</v>
      </c>
      <c r="G170" s="293">
        <f t="shared" si="167"/>
        <v>56.459288278855958</v>
      </c>
      <c r="H170" s="293">
        <f t="shared" si="167"/>
        <v>53.03859294279976</v>
      </c>
      <c r="I170" s="293">
        <f t="shared" si="167"/>
        <v>49.825147043714018</v>
      </c>
      <c r="J170" s="293">
        <f t="shared" si="167"/>
        <v>46.806393989467182</v>
      </c>
      <c r="K170" s="293">
        <f t="shared" si="167"/>
        <v>43.970537936899632</v>
      </c>
      <c r="L170" s="293">
        <f t="shared" si="167"/>
        <v>41.306497716859013</v>
      </c>
      <c r="M170" s="293">
        <f t="shared" si="167"/>
        <v>38.803863534292368</v>
      </c>
      <c r="N170" s="293">
        <f t="shared" si="167"/>
        <v>36.452856291745739</v>
      </c>
      <c r="O170" s="293">
        <f t="shared" si="167"/>
        <v>34.24428937732835</v>
      </c>
      <c r="P170" s="293">
        <f t="shared" si="167"/>
        <v>18.329647250726453</v>
      </c>
      <c r="Q170" s="293">
        <f t="shared" si="167"/>
        <v>5.2515318620883251</v>
      </c>
      <c r="R170" s="293">
        <f t="shared" si="167"/>
        <v>1.5045890693524313</v>
      </c>
      <c r="S170" s="293">
        <f t="shared" si="167"/>
        <v>0.4310719856728808</v>
      </c>
      <c r="T170" s="293">
        <f t="shared" si="167"/>
        <v>0.1235041916873275</v>
      </c>
      <c r="U170" s="1091">
        <f t="shared" si="119"/>
        <v>61.141547999999993</v>
      </c>
      <c r="V170" s="293">
        <f t="shared" ref="V170:AK170" si="168">$AI115+(($V115-$AI115-$Z115-$AA115-$AB115)*EXP(-$E$99*$E$88*V$160))+($Z115*EXP(-$E$98*$E$88*V$160))+($AA115*EXP(-$E$98*$E$88*V$160))+($AB115*EXP(-$E$98*$E$88*V$160))</f>
        <v>62.956515787710607</v>
      </c>
      <c r="W170" s="293">
        <f t="shared" si="168"/>
        <v>60.84607456517152</v>
      </c>
      <c r="X170" s="293">
        <f t="shared" si="168"/>
        <v>57.159865512751978</v>
      </c>
      <c r="Y170" s="293">
        <f t="shared" si="168"/>
        <v>53.696724352448811</v>
      </c>
      <c r="Z170" s="293">
        <f t="shared" si="168"/>
        <v>50.443404286986542</v>
      </c>
      <c r="AA170" s="293">
        <f t="shared" si="168"/>
        <v>47.387192919976442</v>
      </c>
      <c r="AB170" s="293">
        <f t="shared" si="168"/>
        <v>44.516148039088129</v>
      </c>
      <c r="AC170" s="293">
        <f t="shared" si="168"/>
        <v>41.81905097405788</v>
      </c>
      <c r="AD170" s="293">
        <f t="shared" si="168"/>
        <v>39.285362759492578</v>
      </c>
      <c r="AE170" s="293">
        <f t="shared" si="168"/>
        <v>36.905182953633386</v>
      </c>
      <c r="AF170" s="293">
        <f t="shared" si="168"/>
        <v>34.66921095216442</v>
      </c>
      <c r="AG170" s="293">
        <f t="shared" si="168"/>
        <v>18.557091379881747</v>
      </c>
      <c r="AH170" s="293">
        <f t="shared" si="168"/>
        <v>5.3166956961090053</v>
      </c>
      <c r="AI170" s="293">
        <f t="shared" si="168"/>
        <v>1.5232588203811572</v>
      </c>
      <c r="AJ170" s="293">
        <f t="shared" si="168"/>
        <v>0.43642095889879629</v>
      </c>
      <c r="AK170" s="293">
        <f t="shared" si="168"/>
        <v>0.12503669817482901</v>
      </c>
      <c r="AL170" s="1091">
        <f t="shared" si="121"/>
        <v>60.656366999999996</v>
      </c>
      <c r="AM170" s="293">
        <f t="shared" ref="AM170:BB170" si="169">$AZ115+(($AM115-$AZ115-$AQ115-$AR115-$AS115)*EXP(-$E$99*$E$88*AM$160))+($AQ115*EXP(-$E$98*$E$88*AM$160))+($AR115*EXP(-$E$98*$E$88*AM$160))+($AS115*EXP(-$E$98*$E$88*AM$160))</f>
        <v>62.547702566192342</v>
      </c>
      <c r="AN170" s="293">
        <f t="shared" si="169"/>
        <v>60.504148871912967</v>
      </c>
      <c r="AO170" s="293">
        <f t="shared" si="169"/>
        <v>56.83866500956173</v>
      </c>
      <c r="AP170" s="293">
        <f t="shared" si="169"/>
        <v>53.394984404674652</v>
      </c>
      <c r="AQ170" s="293">
        <f t="shared" si="169"/>
        <v>50.159945838474904</v>
      </c>
      <c r="AR170" s="293">
        <f t="shared" si="169"/>
        <v>47.12090835067977</v>
      </c>
      <c r="AS170" s="293">
        <f t="shared" si="169"/>
        <v>44.265996836265174</v>
      </c>
      <c r="AT170" s="293">
        <f t="shared" si="169"/>
        <v>41.58405566644749</v>
      </c>
      <c r="AU170" s="293">
        <f t="shared" si="169"/>
        <v>39.06460509782351</v>
      </c>
      <c r="AV170" s="293">
        <f t="shared" si="169"/>
        <v>36.697800322545305</v>
      </c>
      <c r="AW170" s="293">
        <f t="shared" si="169"/>
        <v>34.474392999519644</v>
      </c>
      <c r="AX170" s="293">
        <f t="shared" si="169"/>
        <v>18.452812844247962</v>
      </c>
      <c r="AY170" s="293">
        <f t="shared" si="169"/>
        <v>5.2868193954403688</v>
      </c>
      <c r="AZ170" s="293">
        <f t="shared" si="169"/>
        <v>1.5146991169271558</v>
      </c>
      <c r="BA170" s="293">
        <f t="shared" si="169"/>
        <v>0.43396856279952412</v>
      </c>
      <c r="BB170" s="293">
        <f t="shared" si="169"/>
        <v>0.12433407492858632</v>
      </c>
      <c r="BC170" s="1091">
        <f t="shared" si="123"/>
        <v>58.492722000000008</v>
      </c>
      <c r="BD170" s="293">
        <f t="shared" ref="BD170:BS170" si="170">$BQ115+(($BD115-$BQ115-$BH115-$BI115-$BJ115)*EXP(-$E$99*$E$88*BD$160))+($BH115*EXP(-$E$98*$E$88*BD$160))+($BI115*EXP(-$E$98*$E$88*BD$160))+($BJ115*EXP(-$E$98*$E$88*BD$160))</f>
        <v>60.272826415226412</v>
      </c>
      <c r="BE170" s="293">
        <f t="shared" si="170"/>
        <v>58.277991444872725</v>
      </c>
      <c r="BF170" s="293">
        <f t="shared" si="170"/>
        <v>54.747368408338367</v>
      </c>
      <c r="BG170" s="293">
        <f t="shared" si="170"/>
        <v>51.430393058069214</v>
      </c>
      <c r="BH170" s="293">
        <f t="shared" si="170"/>
        <v>48.31438306438335</v>
      </c>
      <c r="BI170" s="293">
        <f t="shared" si="170"/>
        <v>45.387162572455885</v>
      </c>
      <c r="BJ170" s="293">
        <f t="shared" si="170"/>
        <v>42.637293404603938</v>
      </c>
      <c r="BK170" s="293">
        <f t="shared" si="170"/>
        <v>40.054030387295796</v>
      </c>
      <c r="BL170" s="293">
        <f t="shared" si="170"/>
        <v>37.627279364153573</v>
      </c>
      <c r="BM170" s="293">
        <f t="shared" si="170"/>
        <v>35.347557752817799</v>
      </c>
      <c r="BN170" s="293">
        <f t="shared" si="170"/>
        <v>33.205957491550791</v>
      </c>
      <c r="BO170" s="293">
        <f t="shared" si="170"/>
        <v>17.773868242268342</v>
      </c>
      <c r="BP170" s="293">
        <f t="shared" si="170"/>
        <v>5.0922985101708758</v>
      </c>
      <c r="BQ170" s="293">
        <f t="shared" si="170"/>
        <v>1.4589679502079553</v>
      </c>
      <c r="BR170" s="293">
        <f t="shared" si="170"/>
        <v>0.4180013161998582</v>
      </c>
      <c r="BS170" s="293">
        <f t="shared" si="170"/>
        <v>0.11975938218513246</v>
      </c>
      <c r="BT170" s="1091">
        <f t="shared" si="125"/>
        <v>52.714260000000003</v>
      </c>
      <c r="BU170" s="293">
        <f t="shared" ref="BU170:CJ170" si="171">$CH115+(($BU115-$CH115-$BY115-$BZ115-$CA115)*EXP(-$E$99*$E$88*BU$160))+($BY115*EXP(-$E$98*$E$88*BU$160))+($BZ115*EXP(-$E$98*$E$88*BU$160))+($CA115*EXP(-$E$98*$E$88*BU$160))</f>
        <v>54.259345089260584</v>
      </c>
      <c r="BV170" s="293">
        <f t="shared" si="171"/>
        <v>52.428897303277338</v>
      </c>
      <c r="BW170" s="293">
        <f t="shared" si="171"/>
        <v>49.25261985892255</v>
      </c>
      <c r="BX170" s="293">
        <f t="shared" si="171"/>
        <v>46.268554491267409</v>
      </c>
      <c r="BY170" s="293">
        <f t="shared" si="171"/>
        <v>43.465284486595131</v>
      </c>
      <c r="BZ170" s="293">
        <f t="shared" si="171"/>
        <v>40.831856025611387</v>
      </c>
      <c r="CA170" s="293">
        <f t="shared" si="171"/>
        <v>38.357978929378469</v>
      </c>
      <c r="CB170" s="293">
        <f t="shared" si="171"/>
        <v>36.033986469382192</v>
      </c>
      <c r="CC170" s="293">
        <f t="shared" si="171"/>
        <v>33.850797594581671</v>
      </c>
      <c r="CD170" s="293">
        <f t="shared" si="171"/>
        <v>31.799881447005006</v>
      </c>
      <c r="CE170" s="293">
        <f t="shared" si="171"/>
        <v>29.8732240272364</v>
      </c>
      <c r="CF170" s="293">
        <f t="shared" si="171"/>
        <v>15.989984567286378</v>
      </c>
      <c r="CG170" s="293">
        <f t="shared" si="171"/>
        <v>4.5812072802479582</v>
      </c>
      <c r="CH170" s="293">
        <f t="shared" si="171"/>
        <v>1.3125378612018652</v>
      </c>
      <c r="CI170" s="293">
        <f t="shared" si="171"/>
        <v>0.37604839329494877</v>
      </c>
      <c r="CJ170" s="1100">
        <f t="shared" si="171"/>
        <v>0.10773966853057018</v>
      </c>
    </row>
    <row r="171" spans="2:88" ht="18">
      <c r="B171" s="302"/>
      <c r="C171" s="223">
        <f t="shared" si="116"/>
        <v>0</v>
      </c>
      <c r="D171" s="295">
        <f t="shared" si="117"/>
        <v>61.141547999999993</v>
      </c>
      <c r="E171" s="293">
        <f t="shared" ref="E171:T171" si="172">$R116+(($E116-$R116-$I116-$J116-$K116)*EXP(-$E$99*$E$88*E$160))+($I116*EXP(-$E$98*$E$88*E$160))+($J116*EXP(-$E$98*$E$88*E$160))+($K116*EXP(-$E$98*$E$88*E$160))</f>
        <v>62.476160305498937</v>
      </c>
      <c r="F171" s="293">
        <f t="shared" si="172"/>
        <v>60.100376444754623</v>
      </c>
      <c r="G171" s="293">
        <f t="shared" si="172"/>
        <v>56.459288278855958</v>
      </c>
      <c r="H171" s="293">
        <f t="shared" si="172"/>
        <v>53.03859294279976</v>
      </c>
      <c r="I171" s="293">
        <f t="shared" si="172"/>
        <v>49.825147043714018</v>
      </c>
      <c r="J171" s="293">
        <f t="shared" si="172"/>
        <v>46.806393989467182</v>
      </c>
      <c r="K171" s="293">
        <f t="shared" si="172"/>
        <v>43.970537936899632</v>
      </c>
      <c r="L171" s="293">
        <f t="shared" si="172"/>
        <v>41.306497716859013</v>
      </c>
      <c r="M171" s="293">
        <f t="shared" si="172"/>
        <v>38.803863534292368</v>
      </c>
      <c r="N171" s="293">
        <f t="shared" si="172"/>
        <v>36.452856291745739</v>
      </c>
      <c r="O171" s="293">
        <f t="shared" si="172"/>
        <v>34.24428937732835</v>
      </c>
      <c r="P171" s="293">
        <f t="shared" si="172"/>
        <v>18.329647250726453</v>
      </c>
      <c r="Q171" s="293">
        <f t="shared" si="172"/>
        <v>5.2515318620883251</v>
      </c>
      <c r="R171" s="293">
        <f t="shared" si="172"/>
        <v>1.5045890693524313</v>
      </c>
      <c r="S171" s="293">
        <f t="shared" si="172"/>
        <v>0.4310719856728808</v>
      </c>
      <c r="T171" s="293">
        <f t="shared" si="172"/>
        <v>0.1235041916873275</v>
      </c>
      <c r="U171" s="1091">
        <f t="shared" si="119"/>
        <v>61.141547999999993</v>
      </c>
      <c r="V171" s="293">
        <f t="shared" ref="V171:AK171" si="173">$AI116+(($V116-$AI116-$Z116-$AA116-$AB116)*EXP(-$E$99*$E$88*V$160))+($Z116*EXP(-$E$98*$E$88*V$160))+($AA116*EXP(-$E$98*$E$88*V$160))+($AB116*EXP(-$E$98*$E$88*V$160))</f>
        <v>62.956515787710607</v>
      </c>
      <c r="W171" s="293">
        <f t="shared" si="173"/>
        <v>60.84607456517152</v>
      </c>
      <c r="X171" s="293">
        <f t="shared" si="173"/>
        <v>57.159865512751978</v>
      </c>
      <c r="Y171" s="293">
        <f t="shared" si="173"/>
        <v>53.696724352448811</v>
      </c>
      <c r="Z171" s="293">
        <f t="shared" si="173"/>
        <v>50.443404286986542</v>
      </c>
      <c r="AA171" s="293">
        <f t="shared" si="173"/>
        <v>47.387192919976442</v>
      </c>
      <c r="AB171" s="293">
        <f t="shared" si="173"/>
        <v>44.516148039088129</v>
      </c>
      <c r="AC171" s="293">
        <f t="shared" si="173"/>
        <v>41.81905097405788</v>
      </c>
      <c r="AD171" s="293">
        <f t="shared" si="173"/>
        <v>39.285362759492578</v>
      </c>
      <c r="AE171" s="293">
        <f t="shared" si="173"/>
        <v>36.905182953633386</v>
      </c>
      <c r="AF171" s="293">
        <f t="shared" si="173"/>
        <v>34.66921095216442</v>
      </c>
      <c r="AG171" s="293">
        <f t="shared" si="173"/>
        <v>18.557091379881747</v>
      </c>
      <c r="AH171" s="293">
        <f t="shared" si="173"/>
        <v>5.3166956961090053</v>
      </c>
      <c r="AI171" s="293">
        <f t="shared" si="173"/>
        <v>1.5232588203811572</v>
      </c>
      <c r="AJ171" s="293">
        <f t="shared" si="173"/>
        <v>0.43642095889879629</v>
      </c>
      <c r="AK171" s="293">
        <f t="shared" si="173"/>
        <v>0.12503669817482901</v>
      </c>
      <c r="AL171" s="1091">
        <f t="shared" si="121"/>
        <v>60.656366999999996</v>
      </c>
      <c r="AM171" s="293">
        <f t="shared" ref="AM171:BB171" si="174">$AZ116+(($AM116-$AZ116-$AQ116-$AR116-$AS116)*EXP(-$E$99*$E$88*AM$160))+($AQ116*EXP(-$E$98*$E$88*AM$160))+($AR116*EXP(-$E$98*$E$88*AM$160))+($AS116*EXP(-$E$98*$E$88*AM$160))</f>
        <v>62.547702566192342</v>
      </c>
      <c r="AN171" s="293">
        <f t="shared" si="174"/>
        <v>60.504148871912967</v>
      </c>
      <c r="AO171" s="293">
        <f t="shared" si="174"/>
        <v>56.83866500956173</v>
      </c>
      <c r="AP171" s="293">
        <f t="shared" si="174"/>
        <v>53.394984404674652</v>
      </c>
      <c r="AQ171" s="293">
        <f t="shared" si="174"/>
        <v>50.159945838474904</v>
      </c>
      <c r="AR171" s="293">
        <f t="shared" si="174"/>
        <v>47.12090835067977</v>
      </c>
      <c r="AS171" s="293">
        <f t="shared" si="174"/>
        <v>44.265996836265174</v>
      </c>
      <c r="AT171" s="293">
        <f t="shared" si="174"/>
        <v>41.58405566644749</v>
      </c>
      <c r="AU171" s="293">
        <f t="shared" si="174"/>
        <v>39.06460509782351</v>
      </c>
      <c r="AV171" s="293">
        <f t="shared" si="174"/>
        <v>36.697800322545305</v>
      </c>
      <c r="AW171" s="293">
        <f t="shared" si="174"/>
        <v>34.474392999519644</v>
      </c>
      <c r="AX171" s="293">
        <f t="shared" si="174"/>
        <v>18.452812844247962</v>
      </c>
      <c r="AY171" s="293">
        <f t="shared" si="174"/>
        <v>5.2868193954403688</v>
      </c>
      <c r="AZ171" s="293">
        <f t="shared" si="174"/>
        <v>1.5146991169271558</v>
      </c>
      <c r="BA171" s="293">
        <f t="shared" si="174"/>
        <v>0.43396856279952412</v>
      </c>
      <c r="BB171" s="293">
        <f t="shared" si="174"/>
        <v>0.12433407492858632</v>
      </c>
      <c r="BC171" s="1091">
        <f t="shared" si="123"/>
        <v>58.492722000000008</v>
      </c>
      <c r="BD171" s="293">
        <f t="shared" ref="BD171:BS171" si="175">$BQ116+(($BD116-$BQ116-$BH116-$BI116-$BJ116)*EXP(-$E$99*$E$88*BD$160))+($BH116*EXP(-$E$98*$E$88*BD$160))+($BI116*EXP(-$E$98*$E$88*BD$160))+($BJ116*EXP(-$E$98*$E$88*BD$160))</f>
        <v>60.272826415226412</v>
      </c>
      <c r="BE171" s="293">
        <f t="shared" si="175"/>
        <v>58.277991444872725</v>
      </c>
      <c r="BF171" s="293">
        <f t="shared" si="175"/>
        <v>54.747368408338367</v>
      </c>
      <c r="BG171" s="293">
        <f t="shared" si="175"/>
        <v>51.430393058069214</v>
      </c>
      <c r="BH171" s="293">
        <f t="shared" si="175"/>
        <v>48.31438306438335</v>
      </c>
      <c r="BI171" s="293">
        <f t="shared" si="175"/>
        <v>45.387162572455885</v>
      </c>
      <c r="BJ171" s="293">
        <f t="shared" si="175"/>
        <v>42.637293404603938</v>
      </c>
      <c r="BK171" s="293">
        <f t="shared" si="175"/>
        <v>40.054030387295796</v>
      </c>
      <c r="BL171" s="293">
        <f t="shared" si="175"/>
        <v>37.627279364153573</v>
      </c>
      <c r="BM171" s="293">
        <f t="shared" si="175"/>
        <v>35.347557752817799</v>
      </c>
      <c r="BN171" s="293">
        <f t="shared" si="175"/>
        <v>33.205957491550791</v>
      </c>
      <c r="BO171" s="293">
        <f t="shared" si="175"/>
        <v>17.773868242268342</v>
      </c>
      <c r="BP171" s="293">
        <f t="shared" si="175"/>
        <v>5.0922985101708758</v>
      </c>
      <c r="BQ171" s="293">
        <f t="shared" si="175"/>
        <v>1.4589679502079553</v>
      </c>
      <c r="BR171" s="293">
        <f t="shared" si="175"/>
        <v>0.4180013161998582</v>
      </c>
      <c r="BS171" s="293">
        <f t="shared" si="175"/>
        <v>0.11975938218513246</v>
      </c>
      <c r="BT171" s="1091">
        <f t="shared" si="125"/>
        <v>52.714260000000003</v>
      </c>
      <c r="BU171" s="293">
        <f t="shared" ref="BU171:CJ171" si="176">$CH116+(($BU116-$CH116-$BY116-$BZ116-$CA116)*EXP(-$E$99*$E$88*BU$160))+($BY116*EXP(-$E$98*$E$88*BU$160))+($BZ116*EXP(-$E$98*$E$88*BU$160))+($CA116*EXP(-$E$98*$E$88*BU$160))</f>
        <v>54.259345089260584</v>
      </c>
      <c r="BV171" s="293">
        <f t="shared" si="176"/>
        <v>52.428897303277338</v>
      </c>
      <c r="BW171" s="293">
        <f t="shared" si="176"/>
        <v>49.25261985892255</v>
      </c>
      <c r="BX171" s="293">
        <f t="shared" si="176"/>
        <v>46.268554491267409</v>
      </c>
      <c r="BY171" s="293">
        <f t="shared" si="176"/>
        <v>43.465284486595131</v>
      </c>
      <c r="BZ171" s="293">
        <f t="shared" si="176"/>
        <v>40.831856025611387</v>
      </c>
      <c r="CA171" s="293">
        <f t="shared" si="176"/>
        <v>38.357978929378469</v>
      </c>
      <c r="CB171" s="293">
        <f t="shared" si="176"/>
        <v>36.033986469382192</v>
      </c>
      <c r="CC171" s="293">
        <f t="shared" si="176"/>
        <v>33.850797594581671</v>
      </c>
      <c r="CD171" s="293">
        <f t="shared" si="176"/>
        <v>31.799881447005006</v>
      </c>
      <c r="CE171" s="293">
        <f t="shared" si="176"/>
        <v>29.8732240272364</v>
      </c>
      <c r="CF171" s="293">
        <f t="shared" si="176"/>
        <v>15.989984567286378</v>
      </c>
      <c r="CG171" s="293">
        <f t="shared" si="176"/>
        <v>4.5812072802479582</v>
      </c>
      <c r="CH171" s="293">
        <f t="shared" si="176"/>
        <v>1.3125378612018652</v>
      </c>
      <c r="CI171" s="293">
        <f t="shared" si="176"/>
        <v>0.37604839329494877</v>
      </c>
      <c r="CJ171" s="1100">
        <f t="shared" si="176"/>
        <v>0.10773966853057018</v>
      </c>
    </row>
    <row r="172" spans="2:88" ht="18">
      <c r="B172" s="302"/>
      <c r="C172" s="223">
        <f t="shared" si="116"/>
        <v>0</v>
      </c>
      <c r="D172" s="295">
        <f t="shared" si="117"/>
        <v>61.141547999999993</v>
      </c>
      <c r="E172" s="293">
        <f t="shared" ref="E172:T172" si="177">$R117+(($E117-$R117-$I117-$J117-$K117)*EXP(-$E$99*$E$88*E$160))+($I117*EXP(-$E$98*$E$88*E$160))+($J117*EXP(-$E$98*$E$88*E$160))+($K117*EXP(-$E$98*$E$88*E$160))</f>
        <v>62.476160305498937</v>
      </c>
      <c r="F172" s="293">
        <f t="shared" si="177"/>
        <v>60.100376444754623</v>
      </c>
      <c r="G172" s="293">
        <f t="shared" si="177"/>
        <v>56.459288278855958</v>
      </c>
      <c r="H172" s="293">
        <f t="shared" si="177"/>
        <v>53.03859294279976</v>
      </c>
      <c r="I172" s="293">
        <f t="shared" si="177"/>
        <v>49.825147043714018</v>
      </c>
      <c r="J172" s="293">
        <f t="shared" si="177"/>
        <v>46.806393989467182</v>
      </c>
      <c r="K172" s="293">
        <f t="shared" si="177"/>
        <v>43.970537936899632</v>
      </c>
      <c r="L172" s="293">
        <f t="shared" si="177"/>
        <v>41.306497716859013</v>
      </c>
      <c r="M172" s="293">
        <f t="shared" si="177"/>
        <v>38.803863534292368</v>
      </c>
      <c r="N172" s="293">
        <f t="shared" si="177"/>
        <v>36.452856291745739</v>
      </c>
      <c r="O172" s="293">
        <f t="shared" si="177"/>
        <v>34.24428937732835</v>
      </c>
      <c r="P172" s="293">
        <f t="shared" si="177"/>
        <v>18.329647250726453</v>
      </c>
      <c r="Q172" s="293">
        <f t="shared" si="177"/>
        <v>5.2515318620883251</v>
      </c>
      <c r="R172" s="293">
        <f t="shared" si="177"/>
        <v>1.5045890693524313</v>
      </c>
      <c r="S172" s="293">
        <f t="shared" si="177"/>
        <v>0.4310719856728808</v>
      </c>
      <c r="T172" s="293">
        <f t="shared" si="177"/>
        <v>0.1235041916873275</v>
      </c>
      <c r="U172" s="1091">
        <f t="shared" si="119"/>
        <v>61.141547999999993</v>
      </c>
      <c r="V172" s="293">
        <f t="shared" ref="V172:AK172" si="178">$AI117+(($V117-$AI117-$Z117-$AA117-$AB117)*EXP(-$E$99*$E$88*V$160))+($Z117*EXP(-$E$98*$E$88*V$160))+($AA117*EXP(-$E$98*$E$88*V$160))+($AB117*EXP(-$E$98*$E$88*V$160))</f>
        <v>62.956515787710607</v>
      </c>
      <c r="W172" s="293">
        <f t="shared" si="178"/>
        <v>60.84607456517152</v>
      </c>
      <c r="X172" s="293">
        <f t="shared" si="178"/>
        <v>57.159865512751978</v>
      </c>
      <c r="Y172" s="293">
        <f t="shared" si="178"/>
        <v>53.696724352448811</v>
      </c>
      <c r="Z172" s="293">
        <f t="shared" si="178"/>
        <v>50.443404286986542</v>
      </c>
      <c r="AA172" s="293">
        <f t="shared" si="178"/>
        <v>47.387192919976442</v>
      </c>
      <c r="AB172" s="293">
        <f t="shared" si="178"/>
        <v>44.516148039088129</v>
      </c>
      <c r="AC172" s="293">
        <f t="shared" si="178"/>
        <v>41.81905097405788</v>
      </c>
      <c r="AD172" s="293">
        <f t="shared" si="178"/>
        <v>39.285362759492578</v>
      </c>
      <c r="AE172" s="293">
        <f t="shared" si="178"/>
        <v>36.905182953633386</v>
      </c>
      <c r="AF172" s="293">
        <f t="shared" si="178"/>
        <v>34.66921095216442</v>
      </c>
      <c r="AG172" s="293">
        <f t="shared" si="178"/>
        <v>18.557091379881747</v>
      </c>
      <c r="AH172" s="293">
        <f t="shared" si="178"/>
        <v>5.3166956961090053</v>
      </c>
      <c r="AI172" s="293">
        <f t="shared" si="178"/>
        <v>1.5232588203811572</v>
      </c>
      <c r="AJ172" s="293">
        <f t="shared" si="178"/>
        <v>0.43642095889879629</v>
      </c>
      <c r="AK172" s="293">
        <f t="shared" si="178"/>
        <v>0.12503669817482901</v>
      </c>
      <c r="AL172" s="1091">
        <f t="shared" si="121"/>
        <v>60.656366999999996</v>
      </c>
      <c r="AM172" s="293">
        <f t="shared" ref="AM172:BB172" si="179">$AZ117+(($AM117-$AZ117-$AQ117-$AR117-$AS117)*EXP(-$E$99*$E$88*AM$160))+($AQ117*EXP(-$E$98*$E$88*AM$160))+($AR117*EXP(-$E$98*$E$88*AM$160))+($AS117*EXP(-$E$98*$E$88*AM$160))</f>
        <v>62.547702566192342</v>
      </c>
      <c r="AN172" s="293">
        <f t="shared" si="179"/>
        <v>60.504148871912967</v>
      </c>
      <c r="AO172" s="293">
        <f t="shared" si="179"/>
        <v>56.83866500956173</v>
      </c>
      <c r="AP172" s="293">
        <f t="shared" si="179"/>
        <v>53.394984404674652</v>
      </c>
      <c r="AQ172" s="293">
        <f t="shared" si="179"/>
        <v>50.159945838474904</v>
      </c>
      <c r="AR172" s="293">
        <f t="shared" si="179"/>
        <v>47.12090835067977</v>
      </c>
      <c r="AS172" s="293">
        <f t="shared" si="179"/>
        <v>44.265996836265174</v>
      </c>
      <c r="AT172" s="293">
        <f t="shared" si="179"/>
        <v>41.58405566644749</v>
      </c>
      <c r="AU172" s="293">
        <f t="shared" si="179"/>
        <v>39.06460509782351</v>
      </c>
      <c r="AV172" s="293">
        <f t="shared" si="179"/>
        <v>36.697800322545305</v>
      </c>
      <c r="AW172" s="293">
        <f t="shared" si="179"/>
        <v>34.474392999519644</v>
      </c>
      <c r="AX172" s="293">
        <f t="shared" si="179"/>
        <v>18.452812844247962</v>
      </c>
      <c r="AY172" s="293">
        <f t="shared" si="179"/>
        <v>5.2868193954403688</v>
      </c>
      <c r="AZ172" s="293">
        <f t="shared" si="179"/>
        <v>1.5146991169271558</v>
      </c>
      <c r="BA172" s="293">
        <f t="shared" si="179"/>
        <v>0.43396856279952412</v>
      </c>
      <c r="BB172" s="293">
        <f t="shared" si="179"/>
        <v>0.12433407492858632</v>
      </c>
      <c r="BC172" s="1091">
        <f t="shared" si="123"/>
        <v>58.492722000000008</v>
      </c>
      <c r="BD172" s="293">
        <f t="shared" ref="BD172:BS172" si="180">$BQ117+(($BD117-$BQ117-$BH117-$BI117-$BJ117)*EXP(-$E$99*$E$88*BD$160))+($BH117*EXP(-$E$98*$E$88*BD$160))+($BI117*EXP(-$E$98*$E$88*BD$160))+($BJ117*EXP(-$E$98*$E$88*BD$160))</f>
        <v>60.272826415226412</v>
      </c>
      <c r="BE172" s="293">
        <f t="shared" si="180"/>
        <v>58.277991444872725</v>
      </c>
      <c r="BF172" s="293">
        <f t="shared" si="180"/>
        <v>54.747368408338367</v>
      </c>
      <c r="BG172" s="293">
        <f t="shared" si="180"/>
        <v>51.430393058069214</v>
      </c>
      <c r="BH172" s="293">
        <f t="shared" si="180"/>
        <v>48.31438306438335</v>
      </c>
      <c r="BI172" s="293">
        <f t="shared" si="180"/>
        <v>45.387162572455885</v>
      </c>
      <c r="BJ172" s="293">
        <f t="shared" si="180"/>
        <v>42.637293404603938</v>
      </c>
      <c r="BK172" s="293">
        <f t="shared" si="180"/>
        <v>40.054030387295796</v>
      </c>
      <c r="BL172" s="293">
        <f t="shared" si="180"/>
        <v>37.627279364153573</v>
      </c>
      <c r="BM172" s="293">
        <f t="shared" si="180"/>
        <v>35.347557752817799</v>
      </c>
      <c r="BN172" s="293">
        <f t="shared" si="180"/>
        <v>33.205957491550791</v>
      </c>
      <c r="BO172" s="293">
        <f t="shared" si="180"/>
        <v>17.773868242268342</v>
      </c>
      <c r="BP172" s="293">
        <f t="shared" si="180"/>
        <v>5.0922985101708758</v>
      </c>
      <c r="BQ172" s="293">
        <f t="shared" si="180"/>
        <v>1.4589679502079553</v>
      </c>
      <c r="BR172" s="293">
        <f t="shared" si="180"/>
        <v>0.4180013161998582</v>
      </c>
      <c r="BS172" s="293">
        <f t="shared" si="180"/>
        <v>0.11975938218513246</v>
      </c>
      <c r="BT172" s="1091">
        <f t="shared" si="125"/>
        <v>52.714260000000003</v>
      </c>
      <c r="BU172" s="293">
        <f t="shared" ref="BU172:CJ172" si="181">$CH117+(($BU117-$CH117-$BY117-$BZ117-$CA117)*EXP(-$E$99*$E$88*BU$160))+($BY117*EXP(-$E$98*$E$88*BU$160))+($BZ117*EXP(-$E$98*$E$88*BU$160))+($CA117*EXP(-$E$98*$E$88*BU$160))</f>
        <v>54.259345089260584</v>
      </c>
      <c r="BV172" s="293">
        <f t="shared" si="181"/>
        <v>52.428897303277338</v>
      </c>
      <c r="BW172" s="293">
        <f t="shared" si="181"/>
        <v>49.25261985892255</v>
      </c>
      <c r="BX172" s="293">
        <f t="shared" si="181"/>
        <v>46.268554491267409</v>
      </c>
      <c r="BY172" s="293">
        <f t="shared" si="181"/>
        <v>43.465284486595131</v>
      </c>
      <c r="BZ172" s="293">
        <f t="shared" si="181"/>
        <v>40.831856025611387</v>
      </c>
      <c r="CA172" s="293">
        <f t="shared" si="181"/>
        <v>38.357978929378469</v>
      </c>
      <c r="CB172" s="293">
        <f t="shared" si="181"/>
        <v>36.033986469382192</v>
      </c>
      <c r="CC172" s="293">
        <f t="shared" si="181"/>
        <v>33.850797594581671</v>
      </c>
      <c r="CD172" s="293">
        <f t="shared" si="181"/>
        <v>31.799881447005006</v>
      </c>
      <c r="CE172" s="293">
        <f t="shared" si="181"/>
        <v>29.8732240272364</v>
      </c>
      <c r="CF172" s="293">
        <f t="shared" si="181"/>
        <v>15.989984567286378</v>
      </c>
      <c r="CG172" s="293">
        <f t="shared" si="181"/>
        <v>4.5812072802479582</v>
      </c>
      <c r="CH172" s="293">
        <f t="shared" si="181"/>
        <v>1.3125378612018652</v>
      </c>
      <c r="CI172" s="293">
        <f t="shared" si="181"/>
        <v>0.37604839329494877</v>
      </c>
      <c r="CJ172" s="1100">
        <f t="shared" si="181"/>
        <v>0.10773966853057018</v>
      </c>
    </row>
    <row r="173" spans="2:88" ht="18">
      <c r="B173" s="302"/>
      <c r="C173" s="223">
        <f t="shared" si="116"/>
        <v>0</v>
      </c>
      <c r="D173" s="295">
        <f t="shared" si="117"/>
        <v>61.141547999999993</v>
      </c>
      <c r="E173" s="293">
        <f t="shared" ref="E173:T173" si="182">$R118+(($E118-$R118-$I118-$J118-$K118)*EXP(-$E$99*$E$88*E$160))+($I118*EXP(-$E$98*$E$88*E$160))+($J118*EXP(-$E$98*$E$88*E$160))+($K118*EXP(-$E$98*$E$88*E$160))</f>
        <v>62.476160305498937</v>
      </c>
      <c r="F173" s="293">
        <f t="shared" si="182"/>
        <v>60.100376444754623</v>
      </c>
      <c r="G173" s="293">
        <f t="shared" si="182"/>
        <v>56.459288278855958</v>
      </c>
      <c r="H173" s="293">
        <f t="shared" si="182"/>
        <v>53.03859294279976</v>
      </c>
      <c r="I173" s="293">
        <f t="shared" si="182"/>
        <v>49.825147043714018</v>
      </c>
      <c r="J173" s="293">
        <f t="shared" si="182"/>
        <v>46.806393989467182</v>
      </c>
      <c r="K173" s="293">
        <f t="shared" si="182"/>
        <v>43.970537936899632</v>
      </c>
      <c r="L173" s="293">
        <f t="shared" si="182"/>
        <v>41.306497716859013</v>
      </c>
      <c r="M173" s="293">
        <f t="shared" si="182"/>
        <v>38.803863534292368</v>
      </c>
      <c r="N173" s="293">
        <f t="shared" si="182"/>
        <v>36.452856291745739</v>
      </c>
      <c r="O173" s="293">
        <f t="shared" si="182"/>
        <v>34.24428937732835</v>
      </c>
      <c r="P173" s="293">
        <f t="shared" si="182"/>
        <v>18.329647250726453</v>
      </c>
      <c r="Q173" s="293">
        <f t="shared" si="182"/>
        <v>5.2515318620883251</v>
      </c>
      <c r="R173" s="293">
        <f t="shared" si="182"/>
        <v>1.5045890693524313</v>
      </c>
      <c r="S173" s="293">
        <f t="shared" si="182"/>
        <v>0.4310719856728808</v>
      </c>
      <c r="T173" s="293">
        <f t="shared" si="182"/>
        <v>0.1235041916873275</v>
      </c>
      <c r="U173" s="1091">
        <f t="shared" si="119"/>
        <v>61.141547999999993</v>
      </c>
      <c r="V173" s="293">
        <f t="shared" ref="V173:AK173" si="183">$AI118+(($V118-$AI118-$Z118-$AA118-$AB118)*EXP(-$E$99*$E$88*V$160))+($Z118*EXP(-$E$98*$E$88*V$160))+($AA118*EXP(-$E$98*$E$88*V$160))+($AB118*EXP(-$E$98*$E$88*V$160))</f>
        <v>62.956515787710607</v>
      </c>
      <c r="W173" s="293">
        <f t="shared" si="183"/>
        <v>60.84607456517152</v>
      </c>
      <c r="X173" s="293">
        <f t="shared" si="183"/>
        <v>57.159865512751978</v>
      </c>
      <c r="Y173" s="293">
        <f t="shared" si="183"/>
        <v>53.696724352448811</v>
      </c>
      <c r="Z173" s="293">
        <f t="shared" si="183"/>
        <v>50.443404286986542</v>
      </c>
      <c r="AA173" s="293">
        <f t="shared" si="183"/>
        <v>47.387192919976442</v>
      </c>
      <c r="AB173" s="293">
        <f t="shared" si="183"/>
        <v>44.516148039088129</v>
      </c>
      <c r="AC173" s="293">
        <f t="shared" si="183"/>
        <v>41.81905097405788</v>
      </c>
      <c r="AD173" s="293">
        <f t="shared" si="183"/>
        <v>39.285362759492578</v>
      </c>
      <c r="AE173" s="293">
        <f t="shared" si="183"/>
        <v>36.905182953633386</v>
      </c>
      <c r="AF173" s="293">
        <f t="shared" si="183"/>
        <v>34.66921095216442</v>
      </c>
      <c r="AG173" s="293">
        <f t="shared" si="183"/>
        <v>18.557091379881747</v>
      </c>
      <c r="AH173" s="293">
        <f t="shared" si="183"/>
        <v>5.3166956961090053</v>
      </c>
      <c r="AI173" s="293">
        <f t="shared" si="183"/>
        <v>1.5232588203811572</v>
      </c>
      <c r="AJ173" s="293">
        <f t="shared" si="183"/>
        <v>0.43642095889879629</v>
      </c>
      <c r="AK173" s="293">
        <f t="shared" si="183"/>
        <v>0.12503669817482901</v>
      </c>
      <c r="AL173" s="1091">
        <f t="shared" si="121"/>
        <v>60.656366999999996</v>
      </c>
      <c r="AM173" s="293">
        <f t="shared" ref="AM173:BB173" si="184">$AZ118+(($AM118-$AZ118-$AQ118-$AR118-$AS118)*EXP(-$E$99*$E$88*AM$160))+($AQ118*EXP(-$E$98*$E$88*AM$160))+($AR118*EXP(-$E$98*$E$88*AM$160))+($AS118*EXP(-$E$98*$E$88*AM$160))</f>
        <v>62.547702566192342</v>
      </c>
      <c r="AN173" s="293">
        <f t="shared" si="184"/>
        <v>60.504148871912967</v>
      </c>
      <c r="AO173" s="293">
        <f t="shared" si="184"/>
        <v>56.83866500956173</v>
      </c>
      <c r="AP173" s="293">
        <f t="shared" si="184"/>
        <v>53.394984404674652</v>
      </c>
      <c r="AQ173" s="293">
        <f t="shared" si="184"/>
        <v>50.159945838474904</v>
      </c>
      <c r="AR173" s="293">
        <f t="shared" si="184"/>
        <v>47.12090835067977</v>
      </c>
      <c r="AS173" s="293">
        <f t="shared" si="184"/>
        <v>44.265996836265174</v>
      </c>
      <c r="AT173" s="293">
        <f t="shared" si="184"/>
        <v>41.58405566644749</v>
      </c>
      <c r="AU173" s="293">
        <f t="shared" si="184"/>
        <v>39.06460509782351</v>
      </c>
      <c r="AV173" s="293">
        <f t="shared" si="184"/>
        <v>36.697800322545305</v>
      </c>
      <c r="AW173" s="293">
        <f t="shared" si="184"/>
        <v>34.474392999519644</v>
      </c>
      <c r="AX173" s="293">
        <f t="shared" si="184"/>
        <v>18.452812844247962</v>
      </c>
      <c r="AY173" s="293">
        <f t="shared" si="184"/>
        <v>5.2868193954403688</v>
      </c>
      <c r="AZ173" s="293">
        <f t="shared" si="184"/>
        <v>1.5146991169271558</v>
      </c>
      <c r="BA173" s="293">
        <f t="shared" si="184"/>
        <v>0.43396856279952412</v>
      </c>
      <c r="BB173" s="293">
        <f t="shared" si="184"/>
        <v>0.12433407492858632</v>
      </c>
      <c r="BC173" s="1091">
        <f t="shared" si="123"/>
        <v>58.492722000000008</v>
      </c>
      <c r="BD173" s="293">
        <f t="shared" ref="BD173:BS173" si="185">$BQ118+(($BD118-$BQ118-$BH118-$BI118-$BJ118)*EXP(-$E$99*$E$88*BD$160))+($BH118*EXP(-$E$98*$E$88*BD$160))+($BI118*EXP(-$E$98*$E$88*BD$160))+($BJ118*EXP(-$E$98*$E$88*BD$160))</f>
        <v>60.272826415226412</v>
      </c>
      <c r="BE173" s="293">
        <f t="shared" si="185"/>
        <v>58.277991444872725</v>
      </c>
      <c r="BF173" s="293">
        <f t="shared" si="185"/>
        <v>54.747368408338367</v>
      </c>
      <c r="BG173" s="293">
        <f t="shared" si="185"/>
        <v>51.430393058069214</v>
      </c>
      <c r="BH173" s="293">
        <f t="shared" si="185"/>
        <v>48.31438306438335</v>
      </c>
      <c r="BI173" s="293">
        <f t="shared" si="185"/>
        <v>45.387162572455885</v>
      </c>
      <c r="BJ173" s="293">
        <f t="shared" si="185"/>
        <v>42.637293404603938</v>
      </c>
      <c r="BK173" s="293">
        <f t="shared" si="185"/>
        <v>40.054030387295796</v>
      </c>
      <c r="BL173" s="293">
        <f t="shared" si="185"/>
        <v>37.627279364153573</v>
      </c>
      <c r="BM173" s="293">
        <f t="shared" si="185"/>
        <v>35.347557752817799</v>
      </c>
      <c r="BN173" s="293">
        <f t="shared" si="185"/>
        <v>33.205957491550791</v>
      </c>
      <c r="BO173" s="293">
        <f t="shared" si="185"/>
        <v>17.773868242268342</v>
      </c>
      <c r="BP173" s="293">
        <f t="shared" si="185"/>
        <v>5.0922985101708758</v>
      </c>
      <c r="BQ173" s="293">
        <f t="shared" si="185"/>
        <v>1.4589679502079553</v>
      </c>
      <c r="BR173" s="293">
        <f t="shared" si="185"/>
        <v>0.4180013161998582</v>
      </c>
      <c r="BS173" s="293">
        <f t="shared" si="185"/>
        <v>0.11975938218513246</v>
      </c>
      <c r="BT173" s="1091">
        <f t="shared" si="125"/>
        <v>52.714260000000003</v>
      </c>
      <c r="BU173" s="293">
        <f t="shared" ref="BU173:CJ173" si="186">$CH118+(($BU118-$CH118-$BY118-$BZ118-$CA118)*EXP(-$E$99*$E$88*BU$160))+($BY118*EXP(-$E$98*$E$88*BU$160))+($BZ118*EXP(-$E$98*$E$88*BU$160))+($CA118*EXP(-$E$98*$E$88*BU$160))</f>
        <v>54.259345089260584</v>
      </c>
      <c r="BV173" s="293">
        <f t="shared" si="186"/>
        <v>52.428897303277338</v>
      </c>
      <c r="BW173" s="293">
        <f t="shared" si="186"/>
        <v>49.25261985892255</v>
      </c>
      <c r="BX173" s="293">
        <f t="shared" si="186"/>
        <v>46.268554491267409</v>
      </c>
      <c r="BY173" s="293">
        <f t="shared" si="186"/>
        <v>43.465284486595131</v>
      </c>
      <c r="BZ173" s="293">
        <f t="shared" si="186"/>
        <v>40.831856025611387</v>
      </c>
      <c r="CA173" s="293">
        <f t="shared" si="186"/>
        <v>38.357978929378469</v>
      </c>
      <c r="CB173" s="293">
        <f t="shared" si="186"/>
        <v>36.033986469382192</v>
      </c>
      <c r="CC173" s="293">
        <f t="shared" si="186"/>
        <v>33.850797594581671</v>
      </c>
      <c r="CD173" s="293">
        <f t="shared" si="186"/>
        <v>31.799881447005006</v>
      </c>
      <c r="CE173" s="293">
        <f t="shared" si="186"/>
        <v>29.8732240272364</v>
      </c>
      <c r="CF173" s="293">
        <f t="shared" si="186"/>
        <v>15.989984567286378</v>
      </c>
      <c r="CG173" s="293">
        <f t="shared" si="186"/>
        <v>4.5812072802479582</v>
      </c>
      <c r="CH173" s="293">
        <f t="shared" si="186"/>
        <v>1.3125378612018652</v>
      </c>
      <c r="CI173" s="293">
        <f t="shared" si="186"/>
        <v>0.37604839329494877</v>
      </c>
      <c r="CJ173" s="1100">
        <f t="shared" si="186"/>
        <v>0.10773966853057018</v>
      </c>
    </row>
    <row r="174" spans="2:88" ht="18">
      <c r="B174" s="302"/>
      <c r="C174" s="223">
        <f t="shared" si="116"/>
        <v>0</v>
      </c>
      <c r="D174" s="295">
        <f t="shared" si="117"/>
        <v>61.141547999999993</v>
      </c>
      <c r="E174" s="293">
        <f t="shared" ref="E174:T174" si="187">$R119+(($E119-$R119-$I119-$J119-$K119)*EXP(-$E$99*$E$88*E$160))+($I119*EXP(-$E$98*$E$88*E$160))+($J119*EXP(-$E$98*$E$88*E$160))+($K119*EXP(-$E$98*$E$88*E$160))</f>
        <v>62.476160305498937</v>
      </c>
      <c r="F174" s="293">
        <f t="shared" si="187"/>
        <v>60.100376444754623</v>
      </c>
      <c r="G174" s="293">
        <f t="shared" si="187"/>
        <v>56.459288278855958</v>
      </c>
      <c r="H174" s="293">
        <f t="shared" si="187"/>
        <v>53.03859294279976</v>
      </c>
      <c r="I174" s="293">
        <f t="shared" si="187"/>
        <v>49.825147043714018</v>
      </c>
      <c r="J174" s="293">
        <f t="shared" si="187"/>
        <v>46.806393989467182</v>
      </c>
      <c r="K174" s="293">
        <f t="shared" si="187"/>
        <v>43.970537936899632</v>
      </c>
      <c r="L174" s="293">
        <f t="shared" si="187"/>
        <v>41.306497716859013</v>
      </c>
      <c r="M174" s="293">
        <f t="shared" si="187"/>
        <v>38.803863534292368</v>
      </c>
      <c r="N174" s="293">
        <f t="shared" si="187"/>
        <v>36.452856291745739</v>
      </c>
      <c r="O174" s="293">
        <f t="shared" si="187"/>
        <v>34.24428937732835</v>
      </c>
      <c r="P174" s="293">
        <f t="shared" si="187"/>
        <v>18.329647250726453</v>
      </c>
      <c r="Q174" s="293">
        <f t="shared" si="187"/>
        <v>5.2515318620883251</v>
      </c>
      <c r="R174" s="293">
        <f t="shared" si="187"/>
        <v>1.5045890693524313</v>
      </c>
      <c r="S174" s="293">
        <f t="shared" si="187"/>
        <v>0.4310719856728808</v>
      </c>
      <c r="T174" s="293">
        <f t="shared" si="187"/>
        <v>0.1235041916873275</v>
      </c>
      <c r="U174" s="1091">
        <f t="shared" si="119"/>
        <v>61.141547999999993</v>
      </c>
      <c r="V174" s="293">
        <f t="shared" ref="V174:AK174" si="188">$AI119+(($V119-$AI119-$Z119-$AA119-$AB119)*EXP(-$E$99*$E$88*V$160))+($Z119*EXP(-$E$98*$E$88*V$160))+($AA119*EXP(-$E$98*$E$88*V$160))+($AB119*EXP(-$E$98*$E$88*V$160))</f>
        <v>62.956515787710607</v>
      </c>
      <c r="W174" s="293">
        <f t="shared" si="188"/>
        <v>60.84607456517152</v>
      </c>
      <c r="X174" s="293">
        <f t="shared" si="188"/>
        <v>57.159865512751978</v>
      </c>
      <c r="Y174" s="293">
        <f t="shared" si="188"/>
        <v>53.696724352448811</v>
      </c>
      <c r="Z174" s="293">
        <f t="shared" si="188"/>
        <v>50.443404286986542</v>
      </c>
      <c r="AA174" s="293">
        <f t="shared" si="188"/>
        <v>47.387192919976442</v>
      </c>
      <c r="AB174" s="293">
        <f t="shared" si="188"/>
        <v>44.516148039088129</v>
      </c>
      <c r="AC174" s="293">
        <f t="shared" si="188"/>
        <v>41.81905097405788</v>
      </c>
      <c r="AD174" s="293">
        <f t="shared" si="188"/>
        <v>39.285362759492578</v>
      </c>
      <c r="AE174" s="293">
        <f t="shared" si="188"/>
        <v>36.905182953633386</v>
      </c>
      <c r="AF174" s="293">
        <f t="shared" si="188"/>
        <v>34.66921095216442</v>
      </c>
      <c r="AG174" s="293">
        <f t="shared" si="188"/>
        <v>18.557091379881747</v>
      </c>
      <c r="AH174" s="293">
        <f t="shared" si="188"/>
        <v>5.3166956961090053</v>
      </c>
      <c r="AI174" s="293">
        <f t="shared" si="188"/>
        <v>1.5232588203811572</v>
      </c>
      <c r="AJ174" s="293">
        <f t="shared" si="188"/>
        <v>0.43642095889879629</v>
      </c>
      <c r="AK174" s="293">
        <f t="shared" si="188"/>
        <v>0.12503669817482901</v>
      </c>
      <c r="AL174" s="1091">
        <f t="shared" si="121"/>
        <v>60.656366999999996</v>
      </c>
      <c r="AM174" s="293">
        <f t="shared" ref="AM174:BB174" si="189">$AZ119+(($AM119-$AZ119-$AQ119-$AR119-$AS119)*EXP(-$E$99*$E$88*AM$160))+($AQ119*EXP(-$E$98*$E$88*AM$160))+($AR119*EXP(-$E$98*$E$88*AM$160))+($AS119*EXP(-$E$98*$E$88*AM$160))</f>
        <v>62.547702566192342</v>
      </c>
      <c r="AN174" s="293">
        <f t="shared" si="189"/>
        <v>60.504148871912967</v>
      </c>
      <c r="AO174" s="293">
        <f t="shared" si="189"/>
        <v>56.83866500956173</v>
      </c>
      <c r="AP174" s="293">
        <f t="shared" si="189"/>
        <v>53.394984404674652</v>
      </c>
      <c r="AQ174" s="293">
        <f t="shared" si="189"/>
        <v>50.159945838474904</v>
      </c>
      <c r="AR174" s="293">
        <f t="shared" si="189"/>
        <v>47.12090835067977</v>
      </c>
      <c r="AS174" s="293">
        <f t="shared" si="189"/>
        <v>44.265996836265174</v>
      </c>
      <c r="AT174" s="293">
        <f t="shared" si="189"/>
        <v>41.58405566644749</v>
      </c>
      <c r="AU174" s="293">
        <f t="shared" si="189"/>
        <v>39.06460509782351</v>
      </c>
      <c r="AV174" s="293">
        <f t="shared" si="189"/>
        <v>36.697800322545305</v>
      </c>
      <c r="AW174" s="293">
        <f t="shared" si="189"/>
        <v>34.474392999519644</v>
      </c>
      <c r="AX174" s="293">
        <f t="shared" si="189"/>
        <v>18.452812844247962</v>
      </c>
      <c r="AY174" s="293">
        <f t="shared" si="189"/>
        <v>5.2868193954403688</v>
      </c>
      <c r="AZ174" s="293">
        <f t="shared" si="189"/>
        <v>1.5146991169271558</v>
      </c>
      <c r="BA174" s="293">
        <f t="shared" si="189"/>
        <v>0.43396856279952412</v>
      </c>
      <c r="BB174" s="293">
        <f t="shared" si="189"/>
        <v>0.12433407492858632</v>
      </c>
      <c r="BC174" s="1091">
        <f t="shared" si="123"/>
        <v>58.492722000000008</v>
      </c>
      <c r="BD174" s="293">
        <f t="shared" ref="BD174:BS174" si="190">$BQ119+(($BD119-$BQ119-$BH119-$BI119-$BJ119)*EXP(-$E$99*$E$88*BD$160))+($BH119*EXP(-$E$98*$E$88*BD$160))+($BI119*EXP(-$E$98*$E$88*BD$160))+($BJ119*EXP(-$E$98*$E$88*BD$160))</f>
        <v>60.272826415226412</v>
      </c>
      <c r="BE174" s="293">
        <f t="shared" si="190"/>
        <v>58.277991444872725</v>
      </c>
      <c r="BF174" s="293">
        <f t="shared" si="190"/>
        <v>54.747368408338367</v>
      </c>
      <c r="BG174" s="293">
        <f t="shared" si="190"/>
        <v>51.430393058069214</v>
      </c>
      <c r="BH174" s="293">
        <f t="shared" si="190"/>
        <v>48.31438306438335</v>
      </c>
      <c r="BI174" s="293">
        <f t="shared" si="190"/>
        <v>45.387162572455885</v>
      </c>
      <c r="BJ174" s="293">
        <f t="shared" si="190"/>
        <v>42.637293404603938</v>
      </c>
      <c r="BK174" s="293">
        <f t="shared" si="190"/>
        <v>40.054030387295796</v>
      </c>
      <c r="BL174" s="293">
        <f t="shared" si="190"/>
        <v>37.627279364153573</v>
      </c>
      <c r="BM174" s="293">
        <f t="shared" si="190"/>
        <v>35.347557752817799</v>
      </c>
      <c r="BN174" s="293">
        <f t="shared" si="190"/>
        <v>33.205957491550791</v>
      </c>
      <c r="BO174" s="293">
        <f t="shared" si="190"/>
        <v>17.773868242268342</v>
      </c>
      <c r="BP174" s="293">
        <f t="shared" si="190"/>
        <v>5.0922985101708758</v>
      </c>
      <c r="BQ174" s="293">
        <f t="shared" si="190"/>
        <v>1.4589679502079553</v>
      </c>
      <c r="BR174" s="293">
        <f t="shared" si="190"/>
        <v>0.4180013161998582</v>
      </c>
      <c r="BS174" s="293">
        <f t="shared" si="190"/>
        <v>0.11975938218513246</v>
      </c>
      <c r="BT174" s="1091">
        <f t="shared" si="125"/>
        <v>52.714260000000003</v>
      </c>
      <c r="BU174" s="293">
        <f t="shared" ref="BU174:CJ174" si="191">$CH119+(($BU119-$CH119-$BY119-$BZ119-$CA119)*EXP(-$E$99*$E$88*BU$160))+($BY119*EXP(-$E$98*$E$88*BU$160))+($BZ119*EXP(-$E$98*$E$88*BU$160))+($CA119*EXP(-$E$98*$E$88*BU$160))</f>
        <v>54.259345089260584</v>
      </c>
      <c r="BV174" s="293">
        <f t="shared" si="191"/>
        <v>52.428897303277338</v>
      </c>
      <c r="BW174" s="293">
        <f t="shared" si="191"/>
        <v>49.25261985892255</v>
      </c>
      <c r="BX174" s="293">
        <f t="shared" si="191"/>
        <v>46.268554491267409</v>
      </c>
      <c r="BY174" s="293">
        <f t="shared" si="191"/>
        <v>43.465284486595131</v>
      </c>
      <c r="BZ174" s="293">
        <f t="shared" si="191"/>
        <v>40.831856025611387</v>
      </c>
      <c r="CA174" s="293">
        <f t="shared" si="191"/>
        <v>38.357978929378469</v>
      </c>
      <c r="CB174" s="293">
        <f t="shared" si="191"/>
        <v>36.033986469382192</v>
      </c>
      <c r="CC174" s="293">
        <f t="shared" si="191"/>
        <v>33.850797594581671</v>
      </c>
      <c r="CD174" s="293">
        <f t="shared" si="191"/>
        <v>31.799881447005006</v>
      </c>
      <c r="CE174" s="293">
        <f t="shared" si="191"/>
        <v>29.8732240272364</v>
      </c>
      <c r="CF174" s="293">
        <f t="shared" si="191"/>
        <v>15.989984567286378</v>
      </c>
      <c r="CG174" s="293">
        <f t="shared" si="191"/>
        <v>4.5812072802479582</v>
      </c>
      <c r="CH174" s="293">
        <f t="shared" si="191"/>
        <v>1.3125378612018652</v>
      </c>
      <c r="CI174" s="293">
        <f t="shared" si="191"/>
        <v>0.37604839329494877</v>
      </c>
      <c r="CJ174" s="1100">
        <f t="shared" si="191"/>
        <v>0.10773966853057018</v>
      </c>
    </row>
    <row r="175" spans="2:88" ht="18">
      <c r="B175" s="302"/>
      <c r="C175" s="223">
        <f t="shared" si="116"/>
        <v>0</v>
      </c>
      <c r="D175" s="295">
        <f t="shared" si="117"/>
        <v>61.141547999999993</v>
      </c>
      <c r="E175" s="293">
        <f t="shared" ref="E175:T175" si="192">$R120+(($E120-$R120-$I120-$J120-$K120)*EXP(-$E$99*$E$88*E$160))+($I120*EXP(-$E$98*$E$88*E$160))+($J120*EXP(-$E$98*$E$88*E$160))+($K120*EXP(-$E$98*$E$88*E$160))</f>
        <v>62.476160305498937</v>
      </c>
      <c r="F175" s="293">
        <f t="shared" si="192"/>
        <v>60.100376444754623</v>
      </c>
      <c r="G175" s="293">
        <f t="shared" si="192"/>
        <v>56.459288278855958</v>
      </c>
      <c r="H175" s="293">
        <f t="shared" si="192"/>
        <v>53.03859294279976</v>
      </c>
      <c r="I175" s="293">
        <f t="shared" si="192"/>
        <v>49.825147043714018</v>
      </c>
      <c r="J175" s="293">
        <f t="shared" si="192"/>
        <v>46.806393989467182</v>
      </c>
      <c r="K175" s="293">
        <f t="shared" si="192"/>
        <v>43.970537936899632</v>
      </c>
      <c r="L175" s="293">
        <f t="shared" si="192"/>
        <v>41.306497716859013</v>
      </c>
      <c r="M175" s="293">
        <f t="shared" si="192"/>
        <v>38.803863534292368</v>
      </c>
      <c r="N175" s="293">
        <f t="shared" si="192"/>
        <v>36.452856291745739</v>
      </c>
      <c r="O175" s="293">
        <f t="shared" si="192"/>
        <v>34.24428937732835</v>
      </c>
      <c r="P175" s="293">
        <f t="shared" si="192"/>
        <v>18.329647250726453</v>
      </c>
      <c r="Q175" s="293">
        <f t="shared" si="192"/>
        <v>5.2515318620883251</v>
      </c>
      <c r="R175" s="293">
        <f t="shared" si="192"/>
        <v>1.5045890693524313</v>
      </c>
      <c r="S175" s="293">
        <f t="shared" si="192"/>
        <v>0.4310719856728808</v>
      </c>
      <c r="T175" s="293">
        <f t="shared" si="192"/>
        <v>0.1235041916873275</v>
      </c>
      <c r="U175" s="1091">
        <f t="shared" si="119"/>
        <v>61.141547999999993</v>
      </c>
      <c r="V175" s="293">
        <f t="shared" ref="V175:AK175" si="193">$AI120+(($V120-$AI120-$Z120-$AA120-$AB120)*EXP(-$E$99*$E$88*V$160))+($Z120*EXP(-$E$98*$E$88*V$160))+($AA120*EXP(-$E$98*$E$88*V$160))+($AB120*EXP(-$E$98*$E$88*V$160))</f>
        <v>62.956515787710607</v>
      </c>
      <c r="W175" s="293">
        <f t="shared" si="193"/>
        <v>60.84607456517152</v>
      </c>
      <c r="X175" s="293">
        <f t="shared" si="193"/>
        <v>57.159865512751978</v>
      </c>
      <c r="Y175" s="293">
        <f t="shared" si="193"/>
        <v>53.696724352448811</v>
      </c>
      <c r="Z175" s="293">
        <f t="shared" si="193"/>
        <v>50.443404286986542</v>
      </c>
      <c r="AA175" s="293">
        <f t="shared" si="193"/>
        <v>47.387192919976442</v>
      </c>
      <c r="AB175" s="293">
        <f t="shared" si="193"/>
        <v>44.516148039088129</v>
      </c>
      <c r="AC175" s="293">
        <f t="shared" si="193"/>
        <v>41.81905097405788</v>
      </c>
      <c r="AD175" s="293">
        <f t="shared" si="193"/>
        <v>39.285362759492578</v>
      </c>
      <c r="AE175" s="293">
        <f t="shared" si="193"/>
        <v>36.905182953633386</v>
      </c>
      <c r="AF175" s="293">
        <f t="shared" si="193"/>
        <v>34.66921095216442</v>
      </c>
      <c r="AG175" s="293">
        <f t="shared" si="193"/>
        <v>18.557091379881747</v>
      </c>
      <c r="AH175" s="293">
        <f t="shared" si="193"/>
        <v>5.3166956961090053</v>
      </c>
      <c r="AI175" s="293">
        <f t="shared" si="193"/>
        <v>1.5232588203811572</v>
      </c>
      <c r="AJ175" s="293">
        <f t="shared" si="193"/>
        <v>0.43642095889879629</v>
      </c>
      <c r="AK175" s="293">
        <f t="shared" si="193"/>
        <v>0.12503669817482901</v>
      </c>
      <c r="AL175" s="1091">
        <f t="shared" si="121"/>
        <v>60.656366999999996</v>
      </c>
      <c r="AM175" s="293">
        <f t="shared" ref="AM175:BB175" si="194">$AZ120+(($AM120-$AZ120-$AQ120-$AR120-$AS120)*EXP(-$E$99*$E$88*AM$160))+($AQ120*EXP(-$E$98*$E$88*AM$160))+($AR120*EXP(-$E$98*$E$88*AM$160))+($AS120*EXP(-$E$98*$E$88*AM$160))</f>
        <v>62.547702566192342</v>
      </c>
      <c r="AN175" s="293">
        <f t="shared" si="194"/>
        <v>60.504148871912967</v>
      </c>
      <c r="AO175" s="293">
        <f t="shared" si="194"/>
        <v>56.83866500956173</v>
      </c>
      <c r="AP175" s="293">
        <f t="shared" si="194"/>
        <v>53.394984404674652</v>
      </c>
      <c r="AQ175" s="293">
        <f t="shared" si="194"/>
        <v>50.159945838474904</v>
      </c>
      <c r="AR175" s="293">
        <f t="shared" si="194"/>
        <v>47.12090835067977</v>
      </c>
      <c r="AS175" s="293">
        <f t="shared" si="194"/>
        <v>44.265996836265174</v>
      </c>
      <c r="AT175" s="293">
        <f t="shared" si="194"/>
        <v>41.58405566644749</v>
      </c>
      <c r="AU175" s="293">
        <f t="shared" si="194"/>
        <v>39.06460509782351</v>
      </c>
      <c r="AV175" s="293">
        <f t="shared" si="194"/>
        <v>36.697800322545305</v>
      </c>
      <c r="AW175" s="293">
        <f t="shared" si="194"/>
        <v>34.474392999519644</v>
      </c>
      <c r="AX175" s="293">
        <f t="shared" si="194"/>
        <v>18.452812844247962</v>
      </c>
      <c r="AY175" s="293">
        <f t="shared" si="194"/>
        <v>5.2868193954403688</v>
      </c>
      <c r="AZ175" s="293">
        <f t="shared" si="194"/>
        <v>1.5146991169271558</v>
      </c>
      <c r="BA175" s="293">
        <f t="shared" si="194"/>
        <v>0.43396856279952412</v>
      </c>
      <c r="BB175" s="293">
        <f t="shared" si="194"/>
        <v>0.12433407492858632</v>
      </c>
      <c r="BC175" s="1091">
        <f t="shared" si="123"/>
        <v>58.492722000000008</v>
      </c>
      <c r="BD175" s="293">
        <f t="shared" ref="BD175:BS175" si="195">$BQ120+(($BD120-$BQ120-$BH120-$BI120-$BJ120)*EXP(-$E$99*$E$88*BD$160))+($BH120*EXP(-$E$98*$E$88*BD$160))+($BI120*EXP(-$E$98*$E$88*BD$160))+($BJ120*EXP(-$E$98*$E$88*BD$160))</f>
        <v>60.272826415226412</v>
      </c>
      <c r="BE175" s="293">
        <f t="shared" si="195"/>
        <v>58.277991444872725</v>
      </c>
      <c r="BF175" s="293">
        <f t="shared" si="195"/>
        <v>54.747368408338367</v>
      </c>
      <c r="BG175" s="293">
        <f t="shared" si="195"/>
        <v>51.430393058069214</v>
      </c>
      <c r="BH175" s="293">
        <f t="shared" si="195"/>
        <v>48.31438306438335</v>
      </c>
      <c r="BI175" s="293">
        <f t="shared" si="195"/>
        <v>45.387162572455885</v>
      </c>
      <c r="BJ175" s="293">
        <f t="shared" si="195"/>
        <v>42.637293404603938</v>
      </c>
      <c r="BK175" s="293">
        <f t="shared" si="195"/>
        <v>40.054030387295796</v>
      </c>
      <c r="BL175" s="293">
        <f t="shared" si="195"/>
        <v>37.627279364153573</v>
      </c>
      <c r="BM175" s="293">
        <f t="shared" si="195"/>
        <v>35.347557752817799</v>
      </c>
      <c r="BN175" s="293">
        <f t="shared" si="195"/>
        <v>33.205957491550791</v>
      </c>
      <c r="BO175" s="293">
        <f t="shared" si="195"/>
        <v>17.773868242268342</v>
      </c>
      <c r="BP175" s="293">
        <f t="shared" si="195"/>
        <v>5.0922985101708758</v>
      </c>
      <c r="BQ175" s="293">
        <f t="shared" si="195"/>
        <v>1.4589679502079553</v>
      </c>
      <c r="BR175" s="293">
        <f t="shared" si="195"/>
        <v>0.4180013161998582</v>
      </c>
      <c r="BS175" s="293">
        <f t="shared" si="195"/>
        <v>0.11975938218513246</v>
      </c>
      <c r="BT175" s="1091">
        <f t="shared" si="125"/>
        <v>52.714260000000003</v>
      </c>
      <c r="BU175" s="293">
        <f t="shared" ref="BU175:CJ175" si="196">$CH120+(($BU120-$CH120-$BY120-$BZ120-$CA120)*EXP(-$E$99*$E$88*BU$160))+($BY120*EXP(-$E$98*$E$88*BU$160))+($BZ120*EXP(-$E$98*$E$88*BU$160))+($CA120*EXP(-$E$98*$E$88*BU$160))</f>
        <v>54.259345089260584</v>
      </c>
      <c r="BV175" s="293">
        <f t="shared" si="196"/>
        <v>52.428897303277338</v>
      </c>
      <c r="BW175" s="293">
        <f t="shared" si="196"/>
        <v>49.25261985892255</v>
      </c>
      <c r="BX175" s="293">
        <f t="shared" si="196"/>
        <v>46.268554491267409</v>
      </c>
      <c r="BY175" s="293">
        <f t="shared" si="196"/>
        <v>43.465284486595131</v>
      </c>
      <c r="BZ175" s="293">
        <f t="shared" si="196"/>
        <v>40.831856025611387</v>
      </c>
      <c r="CA175" s="293">
        <f t="shared" si="196"/>
        <v>38.357978929378469</v>
      </c>
      <c r="CB175" s="293">
        <f t="shared" si="196"/>
        <v>36.033986469382192</v>
      </c>
      <c r="CC175" s="293">
        <f t="shared" si="196"/>
        <v>33.850797594581671</v>
      </c>
      <c r="CD175" s="293">
        <f t="shared" si="196"/>
        <v>31.799881447005006</v>
      </c>
      <c r="CE175" s="293">
        <f t="shared" si="196"/>
        <v>29.8732240272364</v>
      </c>
      <c r="CF175" s="293">
        <f t="shared" si="196"/>
        <v>15.989984567286378</v>
      </c>
      <c r="CG175" s="293">
        <f t="shared" si="196"/>
        <v>4.5812072802479582</v>
      </c>
      <c r="CH175" s="293">
        <f t="shared" si="196"/>
        <v>1.3125378612018652</v>
      </c>
      <c r="CI175" s="293">
        <f t="shared" si="196"/>
        <v>0.37604839329494877</v>
      </c>
      <c r="CJ175" s="1100">
        <f t="shared" si="196"/>
        <v>0.10773966853057018</v>
      </c>
    </row>
    <row r="176" spans="2:88" ht="18">
      <c r="B176" s="302"/>
      <c r="C176" s="223">
        <f t="shared" si="116"/>
        <v>0</v>
      </c>
      <c r="D176" s="295">
        <f t="shared" si="117"/>
        <v>61.141547999999993</v>
      </c>
      <c r="E176" s="293">
        <f t="shared" ref="E176:T176" si="197">$R121+(($E121-$R121-$I121-$J121-$K121)*EXP(-$E$99*$E$88*E$160))+($I121*EXP(-$E$98*$E$88*E$160))+($J121*EXP(-$E$98*$E$88*E$160))+($K121*EXP(-$E$98*$E$88*E$160))</f>
        <v>62.476160305498937</v>
      </c>
      <c r="F176" s="293">
        <f t="shared" si="197"/>
        <v>60.100376444754623</v>
      </c>
      <c r="G176" s="293">
        <f t="shared" si="197"/>
        <v>56.459288278855958</v>
      </c>
      <c r="H176" s="293">
        <f t="shared" si="197"/>
        <v>53.03859294279976</v>
      </c>
      <c r="I176" s="293">
        <f t="shared" si="197"/>
        <v>49.825147043714018</v>
      </c>
      <c r="J176" s="293">
        <f t="shared" si="197"/>
        <v>46.806393989467182</v>
      </c>
      <c r="K176" s="293">
        <f t="shared" si="197"/>
        <v>43.970537936899632</v>
      </c>
      <c r="L176" s="293">
        <f t="shared" si="197"/>
        <v>41.306497716859013</v>
      </c>
      <c r="M176" s="293">
        <f t="shared" si="197"/>
        <v>38.803863534292368</v>
      </c>
      <c r="N176" s="293">
        <f t="shared" si="197"/>
        <v>36.452856291745739</v>
      </c>
      <c r="O176" s="293">
        <f t="shared" si="197"/>
        <v>34.24428937732835</v>
      </c>
      <c r="P176" s="293">
        <f t="shared" si="197"/>
        <v>18.329647250726453</v>
      </c>
      <c r="Q176" s="293">
        <f t="shared" si="197"/>
        <v>5.2515318620883251</v>
      </c>
      <c r="R176" s="293">
        <f t="shared" si="197"/>
        <v>1.5045890693524313</v>
      </c>
      <c r="S176" s="293">
        <f t="shared" si="197"/>
        <v>0.4310719856728808</v>
      </c>
      <c r="T176" s="293">
        <f t="shared" si="197"/>
        <v>0.1235041916873275</v>
      </c>
      <c r="U176" s="1091">
        <f t="shared" si="119"/>
        <v>61.141547999999993</v>
      </c>
      <c r="V176" s="293">
        <f t="shared" ref="V176:AK176" si="198">$AI121+(($V121-$AI121-$Z121-$AA121-$AB121)*EXP(-$E$99*$E$88*V$160))+($Z121*EXP(-$E$98*$E$88*V$160))+($AA121*EXP(-$E$98*$E$88*V$160))+($AB121*EXP(-$E$98*$E$88*V$160))</f>
        <v>62.956515787710607</v>
      </c>
      <c r="W176" s="293">
        <f t="shared" si="198"/>
        <v>60.84607456517152</v>
      </c>
      <c r="X176" s="293">
        <f t="shared" si="198"/>
        <v>57.159865512751978</v>
      </c>
      <c r="Y176" s="293">
        <f t="shared" si="198"/>
        <v>53.696724352448811</v>
      </c>
      <c r="Z176" s="293">
        <f t="shared" si="198"/>
        <v>50.443404286986542</v>
      </c>
      <c r="AA176" s="293">
        <f t="shared" si="198"/>
        <v>47.387192919976442</v>
      </c>
      <c r="AB176" s="293">
        <f t="shared" si="198"/>
        <v>44.516148039088129</v>
      </c>
      <c r="AC176" s="293">
        <f t="shared" si="198"/>
        <v>41.81905097405788</v>
      </c>
      <c r="AD176" s="293">
        <f t="shared" si="198"/>
        <v>39.285362759492578</v>
      </c>
      <c r="AE176" s="293">
        <f t="shared" si="198"/>
        <v>36.905182953633386</v>
      </c>
      <c r="AF176" s="293">
        <f t="shared" si="198"/>
        <v>34.66921095216442</v>
      </c>
      <c r="AG176" s="293">
        <f t="shared" si="198"/>
        <v>18.557091379881747</v>
      </c>
      <c r="AH176" s="293">
        <f t="shared" si="198"/>
        <v>5.3166956961090053</v>
      </c>
      <c r="AI176" s="293">
        <f t="shared" si="198"/>
        <v>1.5232588203811572</v>
      </c>
      <c r="AJ176" s="293">
        <f t="shared" si="198"/>
        <v>0.43642095889879629</v>
      </c>
      <c r="AK176" s="293">
        <f t="shared" si="198"/>
        <v>0.12503669817482901</v>
      </c>
      <c r="AL176" s="1091">
        <f t="shared" si="121"/>
        <v>60.656366999999996</v>
      </c>
      <c r="AM176" s="293">
        <f t="shared" ref="AM176:BB176" si="199">$AZ121+(($AM121-$AZ121-$AQ121-$AR121-$AS121)*EXP(-$E$99*$E$88*AM$160))+($AQ121*EXP(-$E$98*$E$88*AM$160))+($AR121*EXP(-$E$98*$E$88*AM$160))+($AS121*EXP(-$E$98*$E$88*AM$160))</f>
        <v>62.547702566192342</v>
      </c>
      <c r="AN176" s="293">
        <f t="shared" si="199"/>
        <v>60.504148871912967</v>
      </c>
      <c r="AO176" s="293">
        <f t="shared" si="199"/>
        <v>56.83866500956173</v>
      </c>
      <c r="AP176" s="293">
        <f t="shared" si="199"/>
        <v>53.394984404674652</v>
      </c>
      <c r="AQ176" s="293">
        <f t="shared" si="199"/>
        <v>50.159945838474904</v>
      </c>
      <c r="AR176" s="293">
        <f t="shared" si="199"/>
        <v>47.12090835067977</v>
      </c>
      <c r="AS176" s="293">
        <f t="shared" si="199"/>
        <v>44.265996836265174</v>
      </c>
      <c r="AT176" s="293">
        <f t="shared" si="199"/>
        <v>41.58405566644749</v>
      </c>
      <c r="AU176" s="293">
        <f t="shared" si="199"/>
        <v>39.06460509782351</v>
      </c>
      <c r="AV176" s="293">
        <f t="shared" si="199"/>
        <v>36.697800322545305</v>
      </c>
      <c r="AW176" s="293">
        <f t="shared" si="199"/>
        <v>34.474392999519644</v>
      </c>
      <c r="AX176" s="293">
        <f t="shared" si="199"/>
        <v>18.452812844247962</v>
      </c>
      <c r="AY176" s="293">
        <f t="shared" si="199"/>
        <v>5.2868193954403688</v>
      </c>
      <c r="AZ176" s="293">
        <f t="shared" si="199"/>
        <v>1.5146991169271558</v>
      </c>
      <c r="BA176" s="293">
        <f t="shared" si="199"/>
        <v>0.43396856279952412</v>
      </c>
      <c r="BB176" s="293">
        <f t="shared" si="199"/>
        <v>0.12433407492858632</v>
      </c>
      <c r="BC176" s="1091">
        <f t="shared" si="123"/>
        <v>58.492722000000008</v>
      </c>
      <c r="BD176" s="293">
        <f t="shared" ref="BD176:BS176" si="200">$BQ121+(($BD121-$BQ121-$BH121-$BI121-$BJ121)*EXP(-$E$99*$E$88*BD$160))+($BH121*EXP(-$E$98*$E$88*BD$160))+($BI121*EXP(-$E$98*$E$88*BD$160))+($BJ121*EXP(-$E$98*$E$88*BD$160))</f>
        <v>60.272826415226412</v>
      </c>
      <c r="BE176" s="293">
        <f t="shared" si="200"/>
        <v>58.277991444872725</v>
      </c>
      <c r="BF176" s="293">
        <f t="shared" si="200"/>
        <v>54.747368408338367</v>
      </c>
      <c r="BG176" s="293">
        <f t="shared" si="200"/>
        <v>51.430393058069214</v>
      </c>
      <c r="BH176" s="293">
        <f t="shared" si="200"/>
        <v>48.31438306438335</v>
      </c>
      <c r="BI176" s="293">
        <f t="shared" si="200"/>
        <v>45.387162572455885</v>
      </c>
      <c r="BJ176" s="293">
        <f t="shared" si="200"/>
        <v>42.637293404603938</v>
      </c>
      <c r="BK176" s="293">
        <f t="shared" si="200"/>
        <v>40.054030387295796</v>
      </c>
      <c r="BL176" s="293">
        <f t="shared" si="200"/>
        <v>37.627279364153573</v>
      </c>
      <c r="BM176" s="293">
        <f t="shared" si="200"/>
        <v>35.347557752817799</v>
      </c>
      <c r="BN176" s="293">
        <f t="shared" si="200"/>
        <v>33.205957491550791</v>
      </c>
      <c r="BO176" s="293">
        <f t="shared" si="200"/>
        <v>17.773868242268342</v>
      </c>
      <c r="BP176" s="293">
        <f t="shared" si="200"/>
        <v>5.0922985101708758</v>
      </c>
      <c r="BQ176" s="293">
        <f t="shared" si="200"/>
        <v>1.4589679502079553</v>
      </c>
      <c r="BR176" s="293">
        <f t="shared" si="200"/>
        <v>0.4180013161998582</v>
      </c>
      <c r="BS176" s="293">
        <f t="shared" si="200"/>
        <v>0.11975938218513246</v>
      </c>
      <c r="BT176" s="1091">
        <f t="shared" si="125"/>
        <v>52.714260000000003</v>
      </c>
      <c r="BU176" s="293">
        <f t="shared" ref="BU176:CJ176" si="201">$CH121+(($BU121-$CH121-$BY121-$BZ121-$CA121)*EXP(-$E$99*$E$88*BU$160))+($BY121*EXP(-$E$98*$E$88*BU$160))+($BZ121*EXP(-$E$98*$E$88*BU$160))+($CA121*EXP(-$E$98*$E$88*BU$160))</f>
        <v>54.259345089260584</v>
      </c>
      <c r="BV176" s="293">
        <f t="shared" si="201"/>
        <v>52.428897303277338</v>
      </c>
      <c r="BW176" s="293">
        <f t="shared" si="201"/>
        <v>49.25261985892255</v>
      </c>
      <c r="BX176" s="293">
        <f t="shared" si="201"/>
        <v>46.268554491267409</v>
      </c>
      <c r="BY176" s="293">
        <f t="shared" si="201"/>
        <v>43.465284486595131</v>
      </c>
      <c r="BZ176" s="293">
        <f t="shared" si="201"/>
        <v>40.831856025611387</v>
      </c>
      <c r="CA176" s="293">
        <f t="shared" si="201"/>
        <v>38.357978929378469</v>
      </c>
      <c r="CB176" s="293">
        <f t="shared" si="201"/>
        <v>36.033986469382192</v>
      </c>
      <c r="CC176" s="293">
        <f t="shared" si="201"/>
        <v>33.850797594581671</v>
      </c>
      <c r="CD176" s="293">
        <f t="shared" si="201"/>
        <v>31.799881447005006</v>
      </c>
      <c r="CE176" s="293">
        <f t="shared" si="201"/>
        <v>29.8732240272364</v>
      </c>
      <c r="CF176" s="293">
        <f t="shared" si="201"/>
        <v>15.989984567286378</v>
      </c>
      <c r="CG176" s="293">
        <f t="shared" si="201"/>
        <v>4.5812072802479582</v>
      </c>
      <c r="CH176" s="293">
        <f t="shared" si="201"/>
        <v>1.3125378612018652</v>
      </c>
      <c r="CI176" s="293">
        <f t="shared" si="201"/>
        <v>0.37604839329494877</v>
      </c>
      <c r="CJ176" s="1100">
        <f t="shared" si="201"/>
        <v>0.10773966853057018</v>
      </c>
    </row>
    <row r="177" spans="2:88" ht="18">
      <c r="B177" s="302"/>
      <c r="C177" s="223">
        <f t="shared" si="116"/>
        <v>0</v>
      </c>
      <c r="D177" s="295">
        <f t="shared" si="117"/>
        <v>61.141547999999993</v>
      </c>
      <c r="E177" s="293">
        <f t="shared" ref="E177:T177" si="202">$R122+(($E122-$R122-$I122-$J122-$K122)*EXP(-$E$99*$E$88*E$160))+($I122*EXP(-$E$98*$E$88*E$160))+($J122*EXP(-$E$98*$E$88*E$160))+($K122*EXP(-$E$98*$E$88*E$160))</f>
        <v>62.476160305498937</v>
      </c>
      <c r="F177" s="293">
        <f t="shared" si="202"/>
        <v>60.100376444754623</v>
      </c>
      <c r="G177" s="293">
        <f t="shared" si="202"/>
        <v>56.459288278855958</v>
      </c>
      <c r="H177" s="293">
        <f t="shared" si="202"/>
        <v>53.03859294279976</v>
      </c>
      <c r="I177" s="293">
        <f t="shared" si="202"/>
        <v>49.825147043714018</v>
      </c>
      <c r="J177" s="293">
        <f t="shared" si="202"/>
        <v>46.806393989467182</v>
      </c>
      <c r="K177" s="293">
        <f t="shared" si="202"/>
        <v>43.970537936899632</v>
      </c>
      <c r="L177" s="293">
        <f t="shared" si="202"/>
        <v>41.306497716859013</v>
      </c>
      <c r="M177" s="293">
        <f t="shared" si="202"/>
        <v>38.803863534292368</v>
      </c>
      <c r="N177" s="293">
        <f t="shared" si="202"/>
        <v>36.452856291745739</v>
      </c>
      <c r="O177" s="293">
        <f t="shared" si="202"/>
        <v>34.24428937732835</v>
      </c>
      <c r="P177" s="293">
        <f t="shared" si="202"/>
        <v>18.329647250726453</v>
      </c>
      <c r="Q177" s="293">
        <f t="shared" si="202"/>
        <v>5.2515318620883251</v>
      </c>
      <c r="R177" s="293">
        <f t="shared" si="202"/>
        <v>1.5045890693524313</v>
      </c>
      <c r="S177" s="293">
        <f t="shared" si="202"/>
        <v>0.4310719856728808</v>
      </c>
      <c r="T177" s="293">
        <f t="shared" si="202"/>
        <v>0.1235041916873275</v>
      </c>
      <c r="U177" s="1091">
        <f t="shared" si="119"/>
        <v>61.141547999999993</v>
      </c>
      <c r="V177" s="293">
        <f t="shared" ref="V177:AK177" si="203">$AI122+(($V122-$AI122-$Z122-$AA122-$AB122)*EXP(-$E$99*$E$88*V$160))+($Z122*EXP(-$E$98*$E$88*V$160))+($AA122*EXP(-$E$98*$E$88*V$160))+($AB122*EXP(-$E$98*$E$88*V$160))</f>
        <v>62.956515787710607</v>
      </c>
      <c r="W177" s="293">
        <f t="shared" si="203"/>
        <v>60.84607456517152</v>
      </c>
      <c r="X177" s="293">
        <f t="shared" si="203"/>
        <v>57.159865512751978</v>
      </c>
      <c r="Y177" s="293">
        <f t="shared" si="203"/>
        <v>53.696724352448811</v>
      </c>
      <c r="Z177" s="293">
        <f t="shared" si="203"/>
        <v>50.443404286986542</v>
      </c>
      <c r="AA177" s="293">
        <f t="shared" si="203"/>
        <v>47.387192919976442</v>
      </c>
      <c r="AB177" s="293">
        <f t="shared" si="203"/>
        <v>44.516148039088129</v>
      </c>
      <c r="AC177" s="293">
        <f t="shared" si="203"/>
        <v>41.81905097405788</v>
      </c>
      <c r="AD177" s="293">
        <f t="shared" si="203"/>
        <v>39.285362759492578</v>
      </c>
      <c r="AE177" s="293">
        <f t="shared" si="203"/>
        <v>36.905182953633386</v>
      </c>
      <c r="AF177" s="293">
        <f t="shared" si="203"/>
        <v>34.66921095216442</v>
      </c>
      <c r="AG177" s="293">
        <f t="shared" si="203"/>
        <v>18.557091379881747</v>
      </c>
      <c r="AH177" s="293">
        <f t="shared" si="203"/>
        <v>5.3166956961090053</v>
      </c>
      <c r="AI177" s="293">
        <f t="shared" si="203"/>
        <v>1.5232588203811572</v>
      </c>
      <c r="AJ177" s="293">
        <f t="shared" si="203"/>
        <v>0.43642095889879629</v>
      </c>
      <c r="AK177" s="293">
        <f t="shared" si="203"/>
        <v>0.12503669817482901</v>
      </c>
      <c r="AL177" s="1091">
        <f t="shared" si="121"/>
        <v>60.656366999999996</v>
      </c>
      <c r="AM177" s="293">
        <f t="shared" ref="AM177:BB177" si="204">$AZ122+(($AM122-$AZ122-$AQ122-$AR122-$AS122)*EXP(-$E$99*$E$88*AM$160))+($AQ122*EXP(-$E$98*$E$88*AM$160))+($AR122*EXP(-$E$98*$E$88*AM$160))+($AS122*EXP(-$E$98*$E$88*AM$160))</f>
        <v>62.547702566192342</v>
      </c>
      <c r="AN177" s="293">
        <f t="shared" si="204"/>
        <v>60.504148871912967</v>
      </c>
      <c r="AO177" s="293">
        <f t="shared" si="204"/>
        <v>56.83866500956173</v>
      </c>
      <c r="AP177" s="293">
        <f t="shared" si="204"/>
        <v>53.394984404674652</v>
      </c>
      <c r="AQ177" s="293">
        <f t="shared" si="204"/>
        <v>50.159945838474904</v>
      </c>
      <c r="AR177" s="293">
        <f t="shared" si="204"/>
        <v>47.12090835067977</v>
      </c>
      <c r="AS177" s="293">
        <f t="shared" si="204"/>
        <v>44.265996836265174</v>
      </c>
      <c r="AT177" s="293">
        <f t="shared" si="204"/>
        <v>41.58405566644749</v>
      </c>
      <c r="AU177" s="293">
        <f t="shared" si="204"/>
        <v>39.06460509782351</v>
      </c>
      <c r="AV177" s="293">
        <f t="shared" si="204"/>
        <v>36.697800322545305</v>
      </c>
      <c r="AW177" s="293">
        <f t="shared" si="204"/>
        <v>34.474392999519644</v>
      </c>
      <c r="AX177" s="293">
        <f t="shared" si="204"/>
        <v>18.452812844247962</v>
      </c>
      <c r="AY177" s="293">
        <f t="shared" si="204"/>
        <v>5.2868193954403688</v>
      </c>
      <c r="AZ177" s="293">
        <f t="shared" si="204"/>
        <v>1.5146991169271558</v>
      </c>
      <c r="BA177" s="293">
        <f t="shared" si="204"/>
        <v>0.43396856279952412</v>
      </c>
      <c r="BB177" s="293">
        <f t="shared" si="204"/>
        <v>0.12433407492858632</v>
      </c>
      <c r="BC177" s="1091">
        <f t="shared" si="123"/>
        <v>58.492722000000008</v>
      </c>
      <c r="BD177" s="293">
        <f t="shared" ref="BD177:BS177" si="205">$BQ122+(($BD122-$BQ122-$BH122-$BI122-$BJ122)*EXP(-$E$99*$E$88*BD$160))+($BH122*EXP(-$E$98*$E$88*BD$160))+($BI122*EXP(-$E$98*$E$88*BD$160))+($BJ122*EXP(-$E$98*$E$88*BD$160))</f>
        <v>60.272826415226412</v>
      </c>
      <c r="BE177" s="293">
        <f t="shared" si="205"/>
        <v>58.277991444872725</v>
      </c>
      <c r="BF177" s="293">
        <f t="shared" si="205"/>
        <v>54.747368408338367</v>
      </c>
      <c r="BG177" s="293">
        <f t="shared" si="205"/>
        <v>51.430393058069214</v>
      </c>
      <c r="BH177" s="293">
        <f t="shared" si="205"/>
        <v>48.31438306438335</v>
      </c>
      <c r="BI177" s="293">
        <f t="shared" si="205"/>
        <v>45.387162572455885</v>
      </c>
      <c r="BJ177" s="293">
        <f t="shared" si="205"/>
        <v>42.637293404603938</v>
      </c>
      <c r="BK177" s="293">
        <f t="shared" si="205"/>
        <v>40.054030387295796</v>
      </c>
      <c r="BL177" s="293">
        <f t="shared" si="205"/>
        <v>37.627279364153573</v>
      </c>
      <c r="BM177" s="293">
        <f t="shared" si="205"/>
        <v>35.347557752817799</v>
      </c>
      <c r="BN177" s="293">
        <f t="shared" si="205"/>
        <v>33.205957491550791</v>
      </c>
      <c r="BO177" s="293">
        <f t="shared" si="205"/>
        <v>17.773868242268342</v>
      </c>
      <c r="BP177" s="293">
        <f t="shared" si="205"/>
        <v>5.0922985101708758</v>
      </c>
      <c r="BQ177" s="293">
        <f t="shared" si="205"/>
        <v>1.4589679502079553</v>
      </c>
      <c r="BR177" s="293">
        <f t="shared" si="205"/>
        <v>0.4180013161998582</v>
      </c>
      <c r="BS177" s="293">
        <f t="shared" si="205"/>
        <v>0.11975938218513246</v>
      </c>
      <c r="BT177" s="1091">
        <f t="shared" si="125"/>
        <v>52.714260000000003</v>
      </c>
      <c r="BU177" s="293">
        <f t="shared" ref="BU177:CJ177" si="206">$CH122+(($BU122-$CH122-$BY122-$BZ122-$CA122)*EXP(-$E$99*$E$88*BU$160))+($BY122*EXP(-$E$98*$E$88*BU$160))+($BZ122*EXP(-$E$98*$E$88*BU$160))+($CA122*EXP(-$E$98*$E$88*BU$160))</f>
        <v>54.259345089260584</v>
      </c>
      <c r="BV177" s="293">
        <f t="shared" si="206"/>
        <v>52.428897303277338</v>
      </c>
      <c r="BW177" s="293">
        <f t="shared" si="206"/>
        <v>49.25261985892255</v>
      </c>
      <c r="BX177" s="293">
        <f t="shared" si="206"/>
        <v>46.268554491267409</v>
      </c>
      <c r="BY177" s="293">
        <f t="shared" si="206"/>
        <v>43.465284486595131</v>
      </c>
      <c r="BZ177" s="293">
        <f t="shared" si="206"/>
        <v>40.831856025611387</v>
      </c>
      <c r="CA177" s="293">
        <f t="shared" si="206"/>
        <v>38.357978929378469</v>
      </c>
      <c r="CB177" s="293">
        <f t="shared" si="206"/>
        <v>36.033986469382192</v>
      </c>
      <c r="CC177" s="293">
        <f t="shared" si="206"/>
        <v>33.850797594581671</v>
      </c>
      <c r="CD177" s="293">
        <f t="shared" si="206"/>
        <v>31.799881447005006</v>
      </c>
      <c r="CE177" s="293">
        <f t="shared" si="206"/>
        <v>29.8732240272364</v>
      </c>
      <c r="CF177" s="293">
        <f t="shared" si="206"/>
        <v>15.989984567286378</v>
      </c>
      <c r="CG177" s="293">
        <f t="shared" si="206"/>
        <v>4.5812072802479582</v>
      </c>
      <c r="CH177" s="293">
        <f t="shared" si="206"/>
        <v>1.3125378612018652</v>
      </c>
      <c r="CI177" s="293">
        <f t="shared" si="206"/>
        <v>0.37604839329494877</v>
      </c>
      <c r="CJ177" s="1100">
        <f t="shared" si="206"/>
        <v>0.10773966853057018</v>
      </c>
    </row>
    <row r="178" spans="2:88" ht="18">
      <c r="B178" s="302"/>
      <c r="C178" s="223">
        <f t="shared" si="116"/>
        <v>0</v>
      </c>
      <c r="D178" s="295">
        <f t="shared" si="117"/>
        <v>61.141547999999993</v>
      </c>
      <c r="E178" s="293">
        <f t="shared" ref="E178:T178" si="207">$R123+(($E123-$R123-$I123-$J123-$K123)*EXP(-$E$99*$E$88*E$160))+($I123*EXP(-$E$98*$E$88*E$160))+($J123*EXP(-$E$98*$E$88*E$160))+($K123*EXP(-$E$98*$E$88*E$160))</f>
        <v>62.476160305498937</v>
      </c>
      <c r="F178" s="293">
        <f t="shared" si="207"/>
        <v>60.100376444754623</v>
      </c>
      <c r="G178" s="293">
        <f t="shared" si="207"/>
        <v>56.459288278855958</v>
      </c>
      <c r="H178" s="293">
        <f t="shared" si="207"/>
        <v>53.03859294279976</v>
      </c>
      <c r="I178" s="293">
        <f t="shared" si="207"/>
        <v>49.825147043714018</v>
      </c>
      <c r="J178" s="293">
        <f t="shared" si="207"/>
        <v>46.806393989467182</v>
      </c>
      <c r="K178" s="293">
        <f t="shared" si="207"/>
        <v>43.970537936899632</v>
      </c>
      <c r="L178" s="293">
        <f t="shared" si="207"/>
        <v>41.306497716859013</v>
      </c>
      <c r="M178" s="293">
        <f t="shared" si="207"/>
        <v>38.803863534292368</v>
      </c>
      <c r="N178" s="293">
        <f t="shared" si="207"/>
        <v>36.452856291745739</v>
      </c>
      <c r="O178" s="293">
        <f t="shared" si="207"/>
        <v>34.24428937732835</v>
      </c>
      <c r="P178" s="293">
        <f t="shared" si="207"/>
        <v>18.329647250726453</v>
      </c>
      <c r="Q178" s="293">
        <f t="shared" si="207"/>
        <v>5.2515318620883251</v>
      </c>
      <c r="R178" s="293">
        <f t="shared" si="207"/>
        <v>1.5045890693524313</v>
      </c>
      <c r="S178" s="293">
        <f t="shared" si="207"/>
        <v>0.4310719856728808</v>
      </c>
      <c r="T178" s="293">
        <f t="shared" si="207"/>
        <v>0.1235041916873275</v>
      </c>
      <c r="U178" s="1091">
        <f t="shared" si="119"/>
        <v>61.141547999999993</v>
      </c>
      <c r="V178" s="293">
        <f t="shared" ref="V178:AK178" si="208">$AI123+(($V123-$AI123-$Z123-$AA123-$AB123)*EXP(-$E$99*$E$88*V$160))+($Z123*EXP(-$E$98*$E$88*V$160))+($AA123*EXP(-$E$98*$E$88*V$160))+($AB123*EXP(-$E$98*$E$88*V$160))</f>
        <v>62.956515787710607</v>
      </c>
      <c r="W178" s="293">
        <f t="shared" si="208"/>
        <v>60.84607456517152</v>
      </c>
      <c r="X178" s="293">
        <f t="shared" si="208"/>
        <v>57.159865512751978</v>
      </c>
      <c r="Y178" s="293">
        <f t="shared" si="208"/>
        <v>53.696724352448811</v>
      </c>
      <c r="Z178" s="293">
        <f t="shared" si="208"/>
        <v>50.443404286986542</v>
      </c>
      <c r="AA178" s="293">
        <f t="shared" si="208"/>
        <v>47.387192919976442</v>
      </c>
      <c r="AB178" s="293">
        <f t="shared" si="208"/>
        <v>44.516148039088129</v>
      </c>
      <c r="AC178" s="293">
        <f t="shared" si="208"/>
        <v>41.81905097405788</v>
      </c>
      <c r="AD178" s="293">
        <f t="shared" si="208"/>
        <v>39.285362759492578</v>
      </c>
      <c r="AE178" s="293">
        <f t="shared" si="208"/>
        <v>36.905182953633386</v>
      </c>
      <c r="AF178" s="293">
        <f t="shared" si="208"/>
        <v>34.66921095216442</v>
      </c>
      <c r="AG178" s="293">
        <f t="shared" si="208"/>
        <v>18.557091379881747</v>
      </c>
      <c r="AH178" s="293">
        <f t="shared" si="208"/>
        <v>5.3166956961090053</v>
      </c>
      <c r="AI178" s="293">
        <f t="shared" si="208"/>
        <v>1.5232588203811572</v>
      </c>
      <c r="AJ178" s="293">
        <f t="shared" si="208"/>
        <v>0.43642095889879629</v>
      </c>
      <c r="AK178" s="293">
        <f t="shared" si="208"/>
        <v>0.12503669817482901</v>
      </c>
      <c r="AL178" s="1091">
        <f t="shared" si="121"/>
        <v>60.656366999999996</v>
      </c>
      <c r="AM178" s="293">
        <f t="shared" ref="AM178:BB178" si="209">$AZ123+(($AM123-$AZ123-$AQ123-$AR123-$AS123)*EXP(-$E$99*$E$88*AM$160))+($AQ123*EXP(-$E$98*$E$88*AM$160))+($AR123*EXP(-$E$98*$E$88*AM$160))+($AS123*EXP(-$E$98*$E$88*AM$160))</f>
        <v>62.547702566192342</v>
      </c>
      <c r="AN178" s="293">
        <f t="shared" si="209"/>
        <v>60.504148871912967</v>
      </c>
      <c r="AO178" s="293">
        <f t="shared" si="209"/>
        <v>56.83866500956173</v>
      </c>
      <c r="AP178" s="293">
        <f t="shared" si="209"/>
        <v>53.394984404674652</v>
      </c>
      <c r="AQ178" s="293">
        <f t="shared" si="209"/>
        <v>50.159945838474904</v>
      </c>
      <c r="AR178" s="293">
        <f t="shared" si="209"/>
        <v>47.12090835067977</v>
      </c>
      <c r="AS178" s="293">
        <f t="shared" si="209"/>
        <v>44.265996836265174</v>
      </c>
      <c r="AT178" s="293">
        <f t="shared" si="209"/>
        <v>41.58405566644749</v>
      </c>
      <c r="AU178" s="293">
        <f t="shared" si="209"/>
        <v>39.06460509782351</v>
      </c>
      <c r="AV178" s="293">
        <f t="shared" si="209"/>
        <v>36.697800322545305</v>
      </c>
      <c r="AW178" s="293">
        <f t="shared" si="209"/>
        <v>34.474392999519644</v>
      </c>
      <c r="AX178" s="293">
        <f t="shared" si="209"/>
        <v>18.452812844247962</v>
      </c>
      <c r="AY178" s="293">
        <f t="shared" si="209"/>
        <v>5.2868193954403688</v>
      </c>
      <c r="AZ178" s="293">
        <f t="shared" si="209"/>
        <v>1.5146991169271558</v>
      </c>
      <c r="BA178" s="293">
        <f t="shared" si="209"/>
        <v>0.43396856279952412</v>
      </c>
      <c r="BB178" s="293">
        <f t="shared" si="209"/>
        <v>0.12433407492858632</v>
      </c>
      <c r="BC178" s="1091">
        <f t="shared" si="123"/>
        <v>58.492722000000008</v>
      </c>
      <c r="BD178" s="293">
        <f t="shared" ref="BD178:BS178" si="210">$BQ123+(($BD123-$BQ123-$BH123-$BI123-$BJ123)*EXP(-$E$99*$E$88*BD$160))+($BH123*EXP(-$E$98*$E$88*BD$160))+($BI123*EXP(-$E$98*$E$88*BD$160))+($BJ123*EXP(-$E$98*$E$88*BD$160))</f>
        <v>60.272826415226412</v>
      </c>
      <c r="BE178" s="293">
        <f t="shared" si="210"/>
        <v>58.277991444872725</v>
      </c>
      <c r="BF178" s="293">
        <f t="shared" si="210"/>
        <v>54.747368408338367</v>
      </c>
      <c r="BG178" s="293">
        <f t="shared" si="210"/>
        <v>51.430393058069214</v>
      </c>
      <c r="BH178" s="293">
        <f t="shared" si="210"/>
        <v>48.31438306438335</v>
      </c>
      <c r="BI178" s="293">
        <f t="shared" si="210"/>
        <v>45.387162572455885</v>
      </c>
      <c r="BJ178" s="293">
        <f t="shared" si="210"/>
        <v>42.637293404603938</v>
      </c>
      <c r="BK178" s="293">
        <f t="shared" si="210"/>
        <v>40.054030387295796</v>
      </c>
      <c r="BL178" s="293">
        <f t="shared" si="210"/>
        <v>37.627279364153573</v>
      </c>
      <c r="BM178" s="293">
        <f t="shared" si="210"/>
        <v>35.347557752817799</v>
      </c>
      <c r="BN178" s="293">
        <f t="shared" si="210"/>
        <v>33.205957491550791</v>
      </c>
      <c r="BO178" s="293">
        <f t="shared" si="210"/>
        <v>17.773868242268342</v>
      </c>
      <c r="BP178" s="293">
        <f t="shared" si="210"/>
        <v>5.0922985101708758</v>
      </c>
      <c r="BQ178" s="293">
        <f t="shared" si="210"/>
        <v>1.4589679502079553</v>
      </c>
      <c r="BR178" s="293">
        <f t="shared" si="210"/>
        <v>0.4180013161998582</v>
      </c>
      <c r="BS178" s="293">
        <f t="shared" si="210"/>
        <v>0.11975938218513246</v>
      </c>
      <c r="BT178" s="1091">
        <f t="shared" si="125"/>
        <v>52.714260000000003</v>
      </c>
      <c r="BU178" s="293">
        <f t="shared" ref="BU178:CJ178" si="211">$CH123+(($BU123-$CH123-$BY123-$BZ123-$CA123)*EXP(-$E$99*$E$88*BU$160))+($BY123*EXP(-$E$98*$E$88*BU$160))+($BZ123*EXP(-$E$98*$E$88*BU$160))+($CA123*EXP(-$E$98*$E$88*BU$160))</f>
        <v>54.259345089260584</v>
      </c>
      <c r="BV178" s="293">
        <f t="shared" si="211"/>
        <v>52.428897303277338</v>
      </c>
      <c r="BW178" s="293">
        <f t="shared" si="211"/>
        <v>49.25261985892255</v>
      </c>
      <c r="BX178" s="293">
        <f t="shared" si="211"/>
        <v>46.268554491267409</v>
      </c>
      <c r="BY178" s="293">
        <f t="shared" si="211"/>
        <v>43.465284486595131</v>
      </c>
      <c r="BZ178" s="293">
        <f t="shared" si="211"/>
        <v>40.831856025611387</v>
      </c>
      <c r="CA178" s="293">
        <f t="shared" si="211"/>
        <v>38.357978929378469</v>
      </c>
      <c r="CB178" s="293">
        <f t="shared" si="211"/>
        <v>36.033986469382192</v>
      </c>
      <c r="CC178" s="293">
        <f t="shared" si="211"/>
        <v>33.850797594581671</v>
      </c>
      <c r="CD178" s="293">
        <f t="shared" si="211"/>
        <v>31.799881447005006</v>
      </c>
      <c r="CE178" s="293">
        <f t="shared" si="211"/>
        <v>29.8732240272364</v>
      </c>
      <c r="CF178" s="293">
        <f t="shared" si="211"/>
        <v>15.989984567286378</v>
      </c>
      <c r="CG178" s="293">
        <f t="shared" si="211"/>
        <v>4.5812072802479582</v>
      </c>
      <c r="CH178" s="293">
        <f t="shared" si="211"/>
        <v>1.3125378612018652</v>
      </c>
      <c r="CI178" s="293">
        <f t="shared" si="211"/>
        <v>0.37604839329494877</v>
      </c>
      <c r="CJ178" s="1100">
        <f t="shared" si="211"/>
        <v>0.10773966853057018</v>
      </c>
    </row>
    <row r="179" spans="2:88" ht="18">
      <c r="B179" s="302"/>
      <c r="C179" s="223">
        <f t="shared" si="116"/>
        <v>0</v>
      </c>
      <c r="D179" s="295">
        <f t="shared" si="117"/>
        <v>61.141547999999993</v>
      </c>
      <c r="E179" s="293">
        <f t="shared" ref="E179:T179" si="212">$R124+(($E124-$R124-$I124-$J124-$K124)*EXP(-$E$99*$E$88*E$160))+($I124*EXP(-$E$98*$E$88*E$160))+($J124*EXP(-$E$98*$E$88*E$160))+($K124*EXP(-$E$98*$E$88*E$160))</f>
        <v>62.476160305498937</v>
      </c>
      <c r="F179" s="293">
        <f t="shared" si="212"/>
        <v>60.100376444754623</v>
      </c>
      <c r="G179" s="293">
        <f t="shared" si="212"/>
        <v>56.459288278855958</v>
      </c>
      <c r="H179" s="293">
        <f t="shared" si="212"/>
        <v>53.03859294279976</v>
      </c>
      <c r="I179" s="293">
        <f t="shared" si="212"/>
        <v>49.825147043714018</v>
      </c>
      <c r="J179" s="293">
        <f t="shared" si="212"/>
        <v>46.806393989467182</v>
      </c>
      <c r="K179" s="293">
        <f t="shared" si="212"/>
        <v>43.970537936899632</v>
      </c>
      <c r="L179" s="293">
        <f t="shared" si="212"/>
        <v>41.306497716859013</v>
      </c>
      <c r="M179" s="293">
        <f t="shared" si="212"/>
        <v>38.803863534292368</v>
      </c>
      <c r="N179" s="293">
        <f t="shared" si="212"/>
        <v>36.452856291745739</v>
      </c>
      <c r="O179" s="293">
        <f t="shared" si="212"/>
        <v>34.24428937732835</v>
      </c>
      <c r="P179" s="293">
        <f t="shared" si="212"/>
        <v>18.329647250726453</v>
      </c>
      <c r="Q179" s="293">
        <f t="shared" si="212"/>
        <v>5.2515318620883251</v>
      </c>
      <c r="R179" s="293">
        <f t="shared" si="212"/>
        <v>1.5045890693524313</v>
      </c>
      <c r="S179" s="293">
        <f t="shared" si="212"/>
        <v>0.4310719856728808</v>
      </c>
      <c r="T179" s="293">
        <f t="shared" si="212"/>
        <v>0.1235041916873275</v>
      </c>
      <c r="U179" s="1091">
        <f t="shared" si="119"/>
        <v>61.141547999999993</v>
      </c>
      <c r="V179" s="293">
        <f t="shared" ref="V179:AK179" si="213">$AI124+(($V124-$AI124-$Z124-$AA124-$AB124)*EXP(-$E$99*$E$88*V$160))+($Z124*EXP(-$E$98*$E$88*V$160))+($AA124*EXP(-$E$98*$E$88*V$160))+($AB124*EXP(-$E$98*$E$88*V$160))</f>
        <v>62.956515787710607</v>
      </c>
      <c r="W179" s="293">
        <f t="shared" si="213"/>
        <v>60.84607456517152</v>
      </c>
      <c r="X179" s="293">
        <f t="shared" si="213"/>
        <v>57.159865512751978</v>
      </c>
      <c r="Y179" s="293">
        <f t="shared" si="213"/>
        <v>53.696724352448811</v>
      </c>
      <c r="Z179" s="293">
        <f t="shared" si="213"/>
        <v>50.443404286986542</v>
      </c>
      <c r="AA179" s="293">
        <f t="shared" si="213"/>
        <v>47.387192919976442</v>
      </c>
      <c r="AB179" s="293">
        <f t="shared" si="213"/>
        <v>44.516148039088129</v>
      </c>
      <c r="AC179" s="293">
        <f t="shared" si="213"/>
        <v>41.81905097405788</v>
      </c>
      <c r="AD179" s="293">
        <f t="shared" si="213"/>
        <v>39.285362759492578</v>
      </c>
      <c r="AE179" s="293">
        <f t="shared" si="213"/>
        <v>36.905182953633386</v>
      </c>
      <c r="AF179" s="293">
        <f t="shared" si="213"/>
        <v>34.66921095216442</v>
      </c>
      <c r="AG179" s="293">
        <f t="shared" si="213"/>
        <v>18.557091379881747</v>
      </c>
      <c r="AH179" s="293">
        <f t="shared" si="213"/>
        <v>5.3166956961090053</v>
      </c>
      <c r="AI179" s="293">
        <f t="shared" si="213"/>
        <v>1.5232588203811572</v>
      </c>
      <c r="AJ179" s="293">
        <f t="shared" si="213"/>
        <v>0.43642095889879629</v>
      </c>
      <c r="AK179" s="293">
        <f t="shared" si="213"/>
        <v>0.12503669817482901</v>
      </c>
      <c r="AL179" s="1091">
        <f t="shared" si="121"/>
        <v>60.656366999999996</v>
      </c>
      <c r="AM179" s="293">
        <f t="shared" ref="AM179:BB179" si="214">$AZ124+(($AM124-$AZ124-$AQ124-$AR124-$AS124)*EXP(-$E$99*$E$88*AM$160))+($AQ124*EXP(-$E$98*$E$88*AM$160))+($AR124*EXP(-$E$98*$E$88*AM$160))+($AS124*EXP(-$E$98*$E$88*AM$160))</f>
        <v>62.547702566192342</v>
      </c>
      <c r="AN179" s="293">
        <f t="shared" si="214"/>
        <v>60.504148871912967</v>
      </c>
      <c r="AO179" s="293">
        <f t="shared" si="214"/>
        <v>56.83866500956173</v>
      </c>
      <c r="AP179" s="293">
        <f t="shared" si="214"/>
        <v>53.394984404674652</v>
      </c>
      <c r="AQ179" s="293">
        <f t="shared" si="214"/>
        <v>50.159945838474904</v>
      </c>
      <c r="AR179" s="293">
        <f t="shared" si="214"/>
        <v>47.12090835067977</v>
      </c>
      <c r="AS179" s="293">
        <f t="shared" si="214"/>
        <v>44.265996836265174</v>
      </c>
      <c r="AT179" s="293">
        <f t="shared" si="214"/>
        <v>41.58405566644749</v>
      </c>
      <c r="AU179" s="293">
        <f t="shared" si="214"/>
        <v>39.06460509782351</v>
      </c>
      <c r="AV179" s="293">
        <f t="shared" si="214"/>
        <v>36.697800322545305</v>
      </c>
      <c r="AW179" s="293">
        <f t="shared" si="214"/>
        <v>34.474392999519644</v>
      </c>
      <c r="AX179" s="293">
        <f t="shared" si="214"/>
        <v>18.452812844247962</v>
      </c>
      <c r="AY179" s="293">
        <f t="shared" si="214"/>
        <v>5.2868193954403688</v>
      </c>
      <c r="AZ179" s="293">
        <f t="shared" si="214"/>
        <v>1.5146991169271558</v>
      </c>
      <c r="BA179" s="293">
        <f t="shared" si="214"/>
        <v>0.43396856279952412</v>
      </c>
      <c r="BB179" s="293">
        <f t="shared" si="214"/>
        <v>0.12433407492858632</v>
      </c>
      <c r="BC179" s="1091">
        <f t="shared" si="123"/>
        <v>58.492722000000008</v>
      </c>
      <c r="BD179" s="293">
        <f t="shared" ref="BD179:BS179" si="215">$BQ124+(($BD124-$BQ124-$BH124-$BI124-$BJ124)*EXP(-$E$99*$E$88*BD$160))+($BH124*EXP(-$E$98*$E$88*BD$160))+($BI124*EXP(-$E$98*$E$88*BD$160))+($BJ124*EXP(-$E$98*$E$88*BD$160))</f>
        <v>60.272826415226412</v>
      </c>
      <c r="BE179" s="293">
        <f t="shared" si="215"/>
        <v>58.277991444872725</v>
      </c>
      <c r="BF179" s="293">
        <f t="shared" si="215"/>
        <v>54.747368408338367</v>
      </c>
      <c r="BG179" s="293">
        <f t="shared" si="215"/>
        <v>51.430393058069214</v>
      </c>
      <c r="BH179" s="293">
        <f t="shared" si="215"/>
        <v>48.31438306438335</v>
      </c>
      <c r="BI179" s="293">
        <f t="shared" si="215"/>
        <v>45.387162572455885</v>
      </c>
      <c r="BJ179" s="293">
        <f t="shared" si="215"/>
        <v>42.637293404603938</v>
      </c>
      <c r="BK179" s="293">
        <f t="shared" si="215"/>
        <v>40.054030387295796</v>
      </c>
      <c r="BL179" s="293">
        <f t="shared" si="215"/>
        <v>37.627279364153573</v>
      </c>
      <c r="BM179" s="293">
        <f t="shared" si="215"/>
        <v>35.347557752817799</v>
      </c>
      <c r="BN179" s="293">
        <f t="shared" si="215"/>
        <v>33.205957491550791</v>
      </c>
      <c r="BO179" s="293">
        <f t="shared" si="215"/>
        <v>17.773868242268342</v>
      </c>
      <c r="BP179" s="293">
        <f t="shared" si="215"/>
        <v>5.0922985101708758</v>
      </c>
      <c r="BQ179" s="293">
        <f t="shared" si="215"/>
        <v>1.4589679502079553</v>
      </c>
      <c r="BR179" s="293">
        <f t="shared" si="215"/>
        <v>0.4180013161998582</v>
      </c>
      <c r="BS179" s="293">
        <f t="shared" si="215"/>
        <v>0.11975938218513246</v>
      </c>
      <c r="BT179" s="1091">
        <f t="shared" si="125"/>
        <v>52.714260000000003</v>
      </c>
      <c r="BU179" s="293">
        <f t="shared" ref="BU179:CJ179" si="216">$CH124+(($BU124-$CH124-$BY124-$BZ124-$CA124)*EXP(-$E$99*$E$88*BU$160))+($BY124*EXP(-$E$98*$E$88*BU$160))+($BZ124*EXP(-$E$98*$E$88*BU$160))+($CA124*EXP(-$E$98*$E$88*BU$160))</f>
        <v>54.259345089260584</v>
      </c>
      <c r="BV179" s="293">
        <f t="shared" si="216"/>
        <v>52.428897303277338</v>
      </c>
      <c r="BW179" s="293">
        <f t="shared" si="216"/>
        <v>49.25261985892255</v>
      </c>
      <c r="BX179" s="293">
        <f t="shared" si="216"/>
        <v>46.268554491267409</v>
      </c>
      <c r="BY179" s="293">
        <f t="shared" si="216"/>
        <v>43.465284486595131</v>
      </c>
      <c r="BZ179" s="293">
        <f t="shared" si="216"/>
        <v>40.831856025611387</v>
      </c>
      <c r="CA179" s="293">
        <f t="shared" si="216"/>
        <v>38.357978929378469</v>
      </c>
      <c r="CB179" s="293">
        <f t="shared" si="216"/>
        <v>36.033986469382192</v>
      </c>
      <c r="CC179" s="293">
        <f t="shared" si="216"/>
        <v>33.850797594581671</v>
      </c>
      <c r="CD179" s="293">
        <f t="shared" si="216"/>
        <v>31.799881447005006</v>
      </c>
      <c r="CE179" s="293">
        <f t="shared" si="216"/>
        <v>29.8732240272364</v>
      </c>
      <c r="CF179" s="293">
        <f t="shared" si="216"/>
        <v>15.989984567286378</v>
      </c>
      <c r="CG179" s="293">
        <f t="shared" si="216"/>
        <v>4.5812072802479582</v>
      </c>
      <c r="CH179" s="293">
        <f t="shared" si="216"/>
        <v>1.3125378612018652</v>
      </c>
      <c r="CI179" s="293">
        <f t="shared" si="216"/>
        <v>0.37604839329494877</v>
      </c>
      <c r="CJ179" s="1100">
        <f t="shared" si="216"/>
        <v>0.10773966853057018</v>
      </c>
    </row>
    <row r="180" spans="2:88" ht="18">
      <c r="B180" s="303"/>
      <c r="C180" s="224">
        <f t="shared" si="116"/>
        <v>0</v>
      </c>
      <c r="D180" s="295">
        <f t="shared" si="117"/>
        <v>61.141547999999993</v>
      </c>
      <c r="E180" s="293">
        <f t="shared" ref="E180:T180" si="217">$R125+(($E125-$R125-$I125-$J125-$K125)*EXP(-$E$99*$E$88*E$160))+($I125*EXP(-$E$98*$E$88*E$160))+($J125*EXP(-$E$98*$E$88*E$160))+($K125*EXP(-$E$98*$E$88*E$160))</f>
        <v>62.476160305498937</v>
      </c>
      <c r="F180" s="293">
        <f t="shared" si="217"/>
        <v>60.100376444754623</v>
      </c>
      <c r="G180" s="293">
        <f t="shared" si="217"/>
        <v>56.459288278855958</v>
      </c>
      <c r="H180" s="293">
        <f t="shared" si="217"/>
        <v>53.03859294279976</v>
      </c>
      <c r="I180" s="293">
        <f t="shared" si="217"/>
        <v>49.825147043714018</v>
      </c>
      <c r="J180" s="293">
        <f t="shared" si="217"/>
        <v>46.806393989467182</v>
      </c>
      <c r="K180" s="293">
        <f t="shared" si="217"/>
        <v>43.970537936899632</v>
      </c>
      <c r="L180" s="293">
        <f t="shared" si="217"/>
        <v>41.306497716859013</v>
      </c>
      <c r="M180" s="293">
        <f t="shared" si="217"/>
        <v>38.803863534292368</v>
      </c>
      <c r="N180" s="293">
        <f t="shared" si="217"/>
        <v>36.452856291745739</v>
      </c>
      <c r="O180" s="293">
        <f t="shared" si="217"/>
        <v>34.24428937732835</v>
      </c>
      <c r="P180" s="293">
        <f t="shared" si="217"/>
        <v>18.329647250726453</v>
      </c>
      <c r="Q180" s="293">
        <f t="shared" si="217"/>
        <v>5.2515318620883251</v>
      </c>
      <c r="R180" s="293">
        <f t="shared" si="217"/>
        <v>1.5045890693524313</v>
      </c>
      <c r="S180" s="293">
        <f t="shared" si="217"/>
        <v>0.4310719856728808</v>
      </c>
      <c r="T180" s="293">
        <f t="shared" si="217"/>
        <v>0.1235041916873275</v>
      </c>
      <c r="U180" s="1091">
        <f t="shared" si="119"/>
        <v>61.141547999999993</v>
      </c>
      <c r="V180" s="293">
        <f t="shared" ref="V180:AK180" si="218">$AI125+(($V125-$AI125-$Z125-$AA125-$AB125)*EXP(-$E$99*$E$88*V$160))+($Z125*EXP(-$E$98*$E$88*V$160))+($AA125*EXP(-$E$98*$E$88*V$160))+($AB125*EXP(-$E$98*$E$88*V$160))</f>
        <v>62.956515787710607</v>
      </c>
      <c r="W180" s="293">
        <f t="shared" si="218"/>
        <v>60.84607456517152</v>
      </c>
      <c r="X180" s="293">
        <f t="shared" si="218"/>
        <v>57.159865512751978</v>
      </c>
      <c r="Y180" s="293">
        <f t="shared" si="218"/>
        <v>53.696724352448811</v>
      </c>
      <c r="Z180" s="293">
        <f t="shared" si="218"/>
        <v>50.443404286986542</v>
      </c>
      <c r="AA180" s="293">
        <f t="shared" si="218"/>
        <v>47.387192919976442</v>
      </c>
      <c r="AB180" s="293">
        <f t="shared" si="218"/>
        <v>44.516148039088129</v>
      </c>
      <c r="AC180" s="293">
        <f t="shared" si="218"/>
        <v>41.81905097405788</v>
      </c>
      <c r="AD180" s="293">
        <f t="shared" si="218"/>
        <v>39.285362759492578</v>
      </c>
      <c r="AE180" s="293">
        <f t="shared" si="218"/>
        <v>36.905182953633386</v>
      </c>
      <c r="AF180" s="293">
        <f t="shared" si="218"/>
        <v>34.66921095216442</v>
      </c>
      <c r="AG180" s="293">
        <f t="shared" si="218"/>
        <v>18.557091379881747</v>
      </c>
      <c r="AH180" s="293">
        <f t="shared" si="218"/>
        <v>5.3166956961090053</v>
      </c>
      <c r="AI180" s="293">
        <f t="shared" si="218"/>
        <v>1.5232588203811572</v>
      </c>
      <c r="AJ180" s="293">
        <f t="shared" si="218"/>
        <v>0.43642095889879629</v>
      </c>
      <c r="AK180" s="293">
        <f t="shared" si="218"/>
        <v>0.12503669817482901</v>
      </c>
      <c r="AL180" s="1091">
        <f t="shared" si="121"/>
        <v>60.656366999999996</v>
      </c>
      <c r="AM180" s="293">
        <f t="shared" ref="AM180:BB180" si="219">$AZ125+(($AM125-$AZ125-$AQ125-$AR125-$AS125)*EXP(-$E$99*$E$88*AM$160))+($AQ125*EXP(-$E$98*$E$88*AM$160))+($AR125*EXP(-$E$98*$E$88*AM$160))+($AS125*EXP(-$E$98*$E$88*AM$160))</f>
        <v>62.547702566192342</v>
      </c>
      <c r="AN180" s="293">
        <f t="shared" si="219"/>
        <v>60.504148871912967</v>
      </c>
      <c r="AO180" s="293">
        <f t="shared" si="219"/>
        <v>56.83866500956173</v>
      </c>
      <c r="AP180" s="293">
        <f t="shared" si="219"/>
        <v>53.394984404674652</v>
      </c>
      <c r="AQ180" s="293">
        <f t="shared" si="219"/>
        <v>50.159945838474904</v>
      </c>
      <c r="AR180" s="293">
        <f t="shared" si="219"/>
        <v>47.12090835067977</v>
      </c>
      <c r="AS180" s="293">
        <f t="shared" si="219"/>
        <v>44.265996836265174</v>
      </c>
      <c r="AT180" s="293">
        <f t="shared" si="219"/>
        <v>41.58405566644749</v>
      </c>
      <c r="AU180" s="293">
        <f t="shared" si="219"/>
        <v>39.06460509782351</v>
      </c>
      <c r="AV180" s="293">
        <f t="shared" si="219"/>
        <v>36.697800322545305</v>
      </c>
      <c r="AW180" s="293">
        <f t="shared" si="219"/>
        <v>34.474392999519644</v>
      </c>
      <c r="AX180" s="293">
        <f t="shared" si="219"/>
        <v>18.452812844247962</v>
      </c>
      <c r="AY180" s="293">
        <f t="shared" si="219"/>
        <v>5.2868193954403688</v>
      </c>
      <c r="AZ180" s="293">
        <f t="shared" si="219"/>
        <v>1.5146991169271558</v>
      </c>
      <c r="BA180" s="293">
        <f t="shared" si="219"/>
        <v>0.43396856279952412</v>
      </c>
      <c r="BB180" s="293">
        <f t="shared" si="219"/>
        <v>0.12433407492858632</v>
      </c>
      <c r="BC180" s="1091">
        <f t="shared" si="123"/>
        <v>58.492722000000008</v>
      </c>
      <c r="BD180" s="293">
        <f t="shared" ref="BD180:BS180" si="220">$BQ125+(($BD125-$BQ125-$BH125-$BI125-$BJ125)*EXP(-$E$99*$E$88*BD$160))+($BH125*EXP(-$E$98*$E$88*BD$160))+($BI125*EXP(-$E$98*$E$88*BD$160))+($BJ125*EXP(-$E$98*$E$88*BD$160))</f>
        <v>60.272826415226412</v>
      </c>
      <c r="BE180" s="293">
        <f t="shared" si="220"/>
        <v>58.277991444872725</v>
      </c>
      <c r="BF180" s="293">
        <f t="shared" si="220"/>
        <v>54.747368408338367</v>
      </c>
      <c r="BG180" s="293">
        <f t="shared" si="220"/>
        <v>51.430393058069214</v>
      </c>
      <c r="BH180" s="293">
        <f t="shared" si="220"/>
        <v>48.31438306438335</v>
      </c>
      <c r="BI180" s="293">
        <f t="shared" si="220"/>
        <v>45.387162572455885</v>
      </c>
      <c r="BJ180" s="293">
        <f t="shared" si="220"/>
        <v>42.637293404603938</v>
      </c>
      <c r="BK180" s="293">
        <f t="shared" si="220"/>
        <v>40.054030387295796</v>
      </c>
      <c r="BL180" s="293">
        <f t="shared" si="220"/>
        <v>37.627279364153573</v>
      </c>
      <c r="BM180" s="293">
        <f t="shared" si="220"/>
        <v>35.347557752817799</v>
      </c>
      <c r="BN180" s="293">
        <f t="shared" si="220"/>
        <v>33.205957491550791</v>
      </c>
      <c r="BO180" s="293">
        <f t="shared" si="220"/>
        <v>17.773868242268342</v>
      </c>
      <c r="BP180" s="293">
        <f t="shared" si="220"/>
        <v>5.0922985101708758</v>
      </c>
      <c r="BQ180" s="293">
        <f t="shared" si="220"/>
        <v>1.4589679502079553</v>
      </c>
      <c r="BR180" s="293">
        <f t="shared" si="220"/>
        <v>0.4180013161998582</v>
      </c>
      <c r="BS180" s="293">
        <f t="shared" si="220"/>
        <v>0.11975938218513246</v>
      </c>
      <c r="BT180" s="1091">
        <f t="shared" si="125"/>
        <v>52.714260000000003</v>
      </c>
      <c r="BU180" s="293">
        <f t="shared" ref="BU180:CJ180" si="221">$CH125+(($BU125-$CH125-$BY125-$BZ125-$CA125)*EXP(-$E$99*$E$88*BU$160))+($BY125*EXP(-$E$98*$E$88*BU$160))+($BZ125*EXP(-$E$98*$E$88*BU$160))+($CA125*EXP(-$E$98*$E$88*BU$160))</f>
        <v>54.259345089260584</v>
      </c>
      <c r="BV180" s="293">
        <f t="shared" si="221"/>
        <v>52.428897303277338</v>
      </c>
      <c r="BW180" s="293">
        <f t="shared" si="221"/>
        <v>49.25261985892255</v>
      </c>
      <c r="BX180" s="293">
        <f t="shared" si="221"/>
        <v>46.268554491267409</v>
      </c>
      <c r="BY180" s="293">
        <f t="shared" si="221"/>
        <v>43.465284486595131</v>
      </c>
      <c r="BZ180" s="293">
        <f t="shared" si="221"/>
        <v>40.831856025611387</v>
      </c>
      <c r="CA180" s="293">
        <f t="shared" si="221"/>
        <v>38.357978929378469</v>
      </c>
      <c r="CB180" s="293">
        <f t="shared" si="221"/>
        <v>36.033986469382192</v>
      </c>
      <c r="CC180" s="293">
        <f t="shared" si="221"/>
        <v>33.850797594581671</v>
      </c>
      <c r="CD180" s="293">
        <f t="shared" si="221"/>
        <v>31.799881447005006</v>
      </c>
      <c r="CE180" s="293">
        <f t="shared" si="221"/>
        <v>29.8732240272364</v>
      </c>
      <c r="CF180" s="293">
        <f t="shared" si="221"/>
        <v>15.989984567286378</v>
      </c>
      <c r="CG180" s="293">
        <f t="shared" si="221"/>
        <v>4.5812072802479582</v>
      </c>
      <c r="CH180" s="293">
        <f t="shared" si="221"/>
        <v>1.3125378612018652</v>
      </c>
      <c r="CI180" s="293">
        <f t="shared" si="221"/>
        <v>0.37604839329494877</v>
      </c>
      <c r="CJ180" s="1100">
        <f t="shared" si="221"/>
        <v>0.10773966853057018</v>
      </c>
    </row>
    <row r="181" spans="2:88" ht="18">
      <c r="B181" s="302"/>
      <c r="C181" s="223">
        <f t="shared" ref="C181:C199" si="222">C126</f>
        <v>0</v>
      </c>
      <c r="D181" s="295">
        <f t="shared" ref="D181:D199" si="223">E126</f>
        <v>61.141547999999993</v>
      </c>
      <c r="E181" s="293">
        <f t="shared" ref="E181:T181" si="224">$R126+(($E126-$R126-$I126-$J126-$K126)*EXP(-$E$99*$E$88*E$160))+($I126*EXP(-$E$98*$E$88*E$160))+($J126*EXP(-$E$98*$E$88*E$160))+($K126*EXP(-$E$98*$E$88*E$160))</f>
        <v>62.476160305498937</v>
      </c>
      <c r="F181" s="293">
        <f t="shared" si="224"/>
        <v>60.100376444754623</v>
      </c>
      <c r="G181" s="293">
        <f t="shared" si="224"/>
        <v>56.459288278855958</v>
      </c>
      <c r="H181" s="293">
        <f t="shared" si="224"/>
        <v>53.03859294279976</v>
      </c>
      <c r="I181" s="293">
        <f t="shared" si="224"/>
        <v>49.825147043714018</v>
      </c>
      <c r="J181" s="293">
        <f t="shared" si="224"/>
        <v>46.806393989467182</v>
      </c>
      <c r="K181" s="293">
        <f t="shared" si="224"/>
        <v>43.970537936899632</v>
      </c>
      <c r="L181" s="293">
        <f t="shared" si="224"/>
        <v>41.306497716859013</v>
      </c>
      <c r="M181" s="293">
        <f t="shared" si="224"/>
        <v>38.803863534292368</v>
      </c>
      <c r="N181" s="293">
        <f t="shared" si="224"/>
        <v>36.452856291745739</v>
      </c>
      <c r="O181" s="293">
        <f t="shared" si="224"/>
        <v>34.24428937732835</v>
      </c>
      <c r="P181" s="293">
        <f t="shared" si="224"/>
        <v>18.329647250726453</v>
      </c>
      <c r="Q181" s="293">
        <f t="shared" si="224"/>
        <v>5.2515318620883251</v>
      </c>
      <c r="R181" s="293">
        <f t="shared" si="224"/>
        <v>1.5045890693524313</v>
      </c>
      <c r="S181" s="293">
        <f t="shared" si="224"/>
        <v>0.4310719856728808</v>
      </c>
      <c r="T181" s="293">
        <f t="shared" si="224"/>
        <v>0.1235041916873275</v>
      </c>
      <c r="U181" s="1091">
        <f t="shared" ref="U181:U199" si="225">V126</f>
        <v>61.141547999999993</v>
      </c>
      <c r="V181" s="293">
        <f t="shared" ref="V181:AK181" si="226">$AI126+(($V126-$AI126-$Z126-$AA126-$AB126)*EXP(-$E$99*$E$88*V$160))+($Z126*EXP(-$E$98*$E$88*V$160))+($AA126*EXP(-$E$98*$E$88*V$160))+($AB126*EXP(-$E$98*$E$88*V$160))</f>
        <v>62.956515787710607</v>
      </c>
      <c r="W181" s="293">
        <f t="shared" si="226"/>
        <v>60.84607456517152</v>
      </c>
      <c r="X181" s="293">
        <f t="shared" si="226"/>
        <v>57.159865512751978</v>
      </c>
      <c r="Y181" s="293">
        <f t="shared" si="226"/>
        <v>53.696724352448811</v>
      </c>
      <c r="Z181" s="293">
        <f t="shared" si="226"/>
        <v>50.443404286986542</v>
      </c>
      <c r="AA181" s="293">
        <f t="shared" si="226"/>
        <v>47.387192919976442</v>
      </c>
      <c r="AB181" s="293">
        <f t="shared" si="226"/>
        <v>44.516148039088129</v>
      </c>
      <c r="AC181" s="293">
        <f t="shared" si="226"/>
        <v>41.81905097405788</v>
      </c>
      <c r="AD181" s="293">
        <f t="shared" si="226"/>
        <v>39.285362759492578</v>
      </c>
      <c r="AE181" s="293">
        <f t="shared" si="226"/>
        <v>36.905182953633386</v>
      </c>
      <c r="AF181" s="293">
        <f t="shared" si="226"/>
        <v>34.66921095216442</v>
      </c>
      <c r="AG181" s="293">
        <f t="shared" si="226"/>
        <v>18.557091379881747</v>
      </c>
      <c r="AH181" s="293">
        <f t="shared" si="226"/>
        <v>5.3166956961090053</v>
      </c>
      <c r="AI181" s="293">
        <f t="shared" si="226"/>
        <v>1.5232588203811572</v>
      </c>
      <c r="AJ181" s="293">
        <f t="shared" si="226"/>
        <v>0.43642095889879629</v>
      </c>
      <c r="AK181" s="293">
        <f t="shared" si="226"/>
        <v>0.12503669817482901</v>
      </c>
      <c r="AL181" s="1091">
        <f t="shared" ref="AL181:AL199" si="227">AM126</f>
        <v>60.656366999999996</v>
      </c>
      <c r="AM181" s="293">
        <f t="shared" ref="AM181:BB181" si="228">$AZ126+(($AM126-$AZ126-$AQ126-$AR126-$AS126)*EXP(-$E$99*$E$88*AM$160))+($AQ126*EXP(-$E$98*$E$88*AM$160))+($AR126*EXP(-$E$98*$E$88*AM$160))+($AS126*EXP(-$E$98*$E$88*AM$160))</f>
        <v>62.547702566192342</v>
      </c>
      <c r="AN181" s="293">
        <f t="shared" si="228"/>
        <v>60.504148871912967</v>
      </c>
      <c r="AO181" s="293">
        <f t="shared" si="228"/>
        <v>56.83866500956173</v>
      </c>
      <c r="AP181" s="293">
        <f t="shared" si="228"/>
        <v>53.394984404674652</v>
      </c>
      <c r="AQ181" s="293">
        <f t="shared" si="228"/>
        <v>50.159945838474904</v>
      </c>
      <c r="AR181" s="293">
        <f t="shared" si="228"/>
        <v>47.12090835067977</v>
      </c>
      <c r="AS181" s="293">
        <f t="shared" si="228"/>
        <v>44.265996836265174</v>
      </c>
      <c r="AT181" s="293">
        <f t="shared" si="228"/>
        <v>41.58405566644749</v>
      </c>
      <c r="AU181" s="293">
        <f t="shared" si="228"/>
        <v>39.06460509782351</v>
      </c>
      <c r="AV181" s="293">
        <f t="shared" si="228"/>
        <v>36.697800322545305</v>
      </c>
      <c r="AW181" s="293">
        <f t="shared" si="228"/>
        <v>34.474392999519644</v>
      </c>
      <c r="AX181" s="293">
        <f t="shared" si="228"/>
        <v>18.452812844247962</v>
      </c>
      <c r="AY181" s="293">
        <f t="shared" si="228"/>
        <v>5.2868193954403688</v>
      </c>
      <c r="AZ181" s="293">
        <f t="shared" si="228"/>
        <v>1.5146991169271558</v>
      </c>
      <c r="BA181" s="293">
        <f t="shared" si="228"/>
        <v>0.43396856279952412</v>
      </c>
      <c r="BB181" s="293">
        <f t="shared" si="228"/>
        <v>0.12433407492858632</v>
      </c>
      <c r="BC181" s="1091">
        <f t="shared" ref="BC181:BC199" si="229">BD126</f>
        <v>58.492722000000008</v>
      </c>
      <c r="BD181" s="293">
        <f t="shared" ref="BD181:BS181" si="230">$BQ126+(($BD126-$BQ126-$BH126-$BI126-$BJ126)*EXP(-$E$99*$E$88*BD$160))+($BH126*EXP(-$E$98*$E$88*BD$160))+($BI126*EXP(-$E$98*$E$88*BD$160))+($BJ126*EXP(-$E$98*$E$88*BD$160))</f>
        <v>60.272826415226412</v>
      </c>
      <c r="BE181" s="293">
        <f t="shared" si="230"/>
        <v>58.277991444872725</v>
      </c>
      <c r="BF181" s="293">
        <f t="shared" si="230"/>
        <v>54.747368408338367</v>
      </c>
      <c r="BG181" s="293">
        <f t="shared" si="230"/>
        <v>51.430393058069214</v>
      </c>
      <c r="BH181" s="293">
        <f t="shared" si="230"/>
        <v>48.31438306438335</v>
      </c>
      <c r="BI181" s="293">
        <f t="shared" si="230"/>
        <v>45.387162572455885</v>
      </c>
      <c r="BJ181" s="293">
        <f t="shared" si="230"/>
        <v>42.637293404603938</v>
      </c>
      <c r="BK181" s="293">
        <f t="shared" si="230"/>
        <v>40.054030387295796</v>
      </c>
      <c r="BL181" s="293">
        <f t="shared" si="230"/>
        <v>37.627279364153573</v>
      </c>
      <c r="BM181" s="293">
        <f t="shared" si="230"/>
        <v>35.347557752817799</v>
      </c>
      <c r="BN181" s="293">
        <f t="shared" si="230"/>
        <v>33.205957491550791</v>
      </c>
      <c r="BO181" s="293">
        <f t="shared" si="230"/>
        <v>17.773868242268342</v>
      </c>
      <c r="BP181" s="293">
        <f t="shared" si="230"/>
        <v>5.0922985101708758</v>
      </c>
      <c r="BQ181" s="293">
        <f t="shared" si="230"/>
        <v>1.4589679502079553</v>
      </c>
      <c r="BR181" s="293">
        <f t="shared" si="230"/>
        <v>0.4180013161998582</v>
      </c>
      <c r="BS181" s="293">
        <f t="shared" si="230"/>
        <v>0.11975938218513246</v>
      </c>
      <c r="BT181" s="1091">
        <f t="shared" ref="BT181:BT198" si="231">BU126</f>
        <v>52.714260000000003</v>
      </c>
      <c r="BU181" s="293">
        <f t="shared" ref="BU181:CJ181" si="232">$CH126+(($BU126-$CH126-$BY126-$BZ126-$CA126)*EXP(-$E$99*$E$88*BU$160))+($BY126*EXP(-$E$98*$E$88*BU$160))+($BZ126*EXP(-$E$98*$E$88*BU$160))+($CA126*EXP(-$E$98*$E$88*BU$160))</f>
        <v>54.259345089260584</v>
      </c>
      <c r="BV181" s="293">
        <f t="shared" si="232"/>
        <v>52.428897303277338</v>
      </c>
      <c r="BW181" s="293">
        <f t="shared" si="232"/>
        <v>49.25261985892255</v>
      </c>
      <c r="BX181" s="293">
        <f t="shared" si="232"/>
        <v>46.268554491267409</v>
      </c>
      <c r="BY181" s="293">
        <f t="shared" si="232"/>
        <v>43.465284486595131</v>
      </c>
      <c r="BZ181" s="293">
        <f t="shared" si="232"/>
        <v>40.831856025611387</v>
      </c>
      <c r="CA181" s="293">
        <f t="shared" si="232"/>
        <v>38.357978929378469</v>
      </c>
      <c r="CB181" s="293">
        <f t="shared" si="232"/>
        <v>36.033986469382192</v>
      </c>
      <c r="CC181" s="293">
        <f t="shared" si="232"/>
        <v>33.850797594581671</v>
      </c>
      <c r="CD181" s="293">
        <f t="shared" si="232"/>
        <v>31.799881447005006</v>
      </c>
      <c r="CE181" s="293">
        <f t="shared" si="232"/>
        <v>29.8732240272364</v>
      </c>
      <c r="CF181" s="293">
        <f t="shared" si="232"/>
        <v>15.989984567286378</v>
      </c>
      <c r="CG181" s="293">
        <f t="shared" si="232"/>
        <v>4.5812072802479582</v>
      </c>
      <c r="CH181" s="293">
        <f t="shared" si="232"/>
        <v>1.3125378612018652</v>
      </c>
      <c r="CI181" s="293">
        <f t="shared" si="232"/>
        <v>0.37604839329494877</v>
      </c>
      <c r="CJ181" s="1100">
        <f t="shared" si="232"/>
        <v>0.10773966853057018</v>
      </c>
    </row>
    <row r="182" spans="2:88" ht="18">
      <c r="B182" s="302"/>
      <c r="C182" s="223">
        <f t="shared" si="222"/>
        <v>0</v>
      </c>
      <c r="D182" s="295">
        <f t="shared" si="223"/>
        <v>61.141547999999993</v>
      </c>
      <c r="E182" s="293">
        <f t="shared" ref="E182:T182" si="233">$R127+(($E127-$R127-$I127-$J127-$K127)*EXP(-$E$99*$E$88*E$160))+($I127*EXP(-$E$98*$E$88*E$160))+($J127*EXP(-$E$98*$E$88*E$160))+($K127*EXP(-$E$98*$E$88*E$160))</f>
        <v>62.476160305498937</v>
      </c>
      <c r="F182" s="293">
        <f t="shared" si="233"/>
        <v>60.100376444754623</v>
      </c>
      <c r="G182" s="293">
        <f t="shared" si="233"/>
        <v>56.459288278855958</v>
      </c>
      <c r="H182" s="293">
        <f t="shared" si="233"/>
        <v>53.03859294279976</v>
      </c>
      <c r="I182" s="293">
        <f t="shared" si="233"/>
        <v>49.825147043714018</v>
      </c>
      <c r="J182" s="293">
        <f t="shared" si="233"/>
        <v>46.806393989467182</v>
      </c>
      <c r="K182" s="293">
        <f t="shared" si="233"/>
        <v>43.970537936899632</v>
      </c>
      <c r="L182" s="293">
        <f t="shared" si="233"/>
        <v>41.306497716859013</v>
      </c>
      <c r="M182" s="293">
        <f t="shared" si="233"/>
        <v>38.803863534292368</v>
      </c>
      <c r="N182" s="293">
        <f t="shared" si="233"/>
        <v>36.452856291745739</v>
      </c>
      <c r="O182" s="293">
        <f t="shared" si="233"/>
        <v>34.24428937732835</v>
      </c>
      <c r="P182" s="293">
        <f t="shared" si="233"/>
        <v>18.329647250726453</v>
      </c>
      <c r="Q182" s="293">
        <f t="shared" si="233"/>
        <v>5.2515318620883251</v>
      </c>
      <c r="R182" s="293">
        <f t="shared" si="233"/>
        <v>1.5045890693524313</v>
      </c>
      <c r="S182" s="293">
        <f t="shared" si="233"/>
        <v>0.4310719856728808</v>
      </c>
      <c r="T182" s="293">
        <f t="shared" si="233"/>
        <v>0.1235041916873275</v>
      </c>
      <c r="U182" s="1091">
        <f t="shared" si="225"/>
        <v>61.141547999999993</v>
      </c>
      <c r="V182" s="293">
        <f t="shared" ref="V182:AK182" si="234">$AI127+(($V127-$AI127-$Z127-$AA127-$AB127)*EXP(-$E$99*$E$88*V$160))+($Z127*EXP(-$E$98*$E$88*V$160))+($AA127*EXP(-$E$98*$E$88*V$160))+($AB127*EXP(-$E$98*$E$88*V$160))</f>
        <v>62.956515787710607</v>
      </c>
      <c r="W182" s="293">
        <f t="shared" si="234"/>
        <v>60.84607456517152</v>
      </c>
      <c r="X182" s="293">
        <f t="shared" si="234"/>
        <v>57.159865512751978</v>
      </c>
      <c r="Y182" s="293">
        <f t="shared" si="234"/>
        <v>53.696724352448811</v>
      </c>
      <c r="Z182" s="293">
        <f t="shared" si="234"/>
        <v>50.443404286986542</v>
      </c>
      <c r="AA182" s="293">
        <f t="shared" si="234"/>
        <v>47.387192919976442</v>
      </c>
      <c r="AB182" s="293">
        <f t="shared" si="234"/>
        <v>44.516148039088129</v>
      </c>
      <c r="AC182" s="293">
        <f t="shared" si="234"/>
        <v>41.81905097405788</v>
      </c>
      <c r="AD182" s="293">
        <f t="shared" si="234"/>
        <v>39.285362759492578</v>
      </c>
      <c r="AE182" s="293">
        <f t="shared" si="234"/>
        <v>36.905182953633386</v>
      </c>
      <c r="AF182" s="293">
        <f t="shared" si="234"/>
        <v>34.66921095216442</v>
      </c>
      <c r="AG182" s="293">
        <f t="shared" si="234"/>
        <v>18.557091379881747</v>
      </c>
      <c r="AH182" s="293">
        <f t="shared" si="234"/>
        <v>5.3166956961090053</v>
      </c>
      <c r="AI182" s="293">
        <f t="shared" si="234"/>
        <v>1.5232588203811572</v>
      </c>
      <c r="AJ182" s="293">
        <f t="shared" si="234"/>
        <v>0.43642095889879629</v>
      </c>
      <c r="AK182" s="293">
        <f t="shared" si="234"/>
        <v>0.12503669817482901</v>
      </c>
      <c r="AL182" s="1091">
        <f t="shared" si="227"/>
        <v>60.656366999999996</v>
      </c>
      <c r="AM182" s="293">
        <f t="shared" ref="AM182:BB182" si="235">$AZ127+(($AM127-$AZ127-$AQ127-$AR127-$AS127)*EXP(-$E$99*$E$88*AM$160))+($AQ127*EXP(-$E$98*$E$88*AM$160))+($AR127*EXP(-$E$98*$E$88*AM$160))+($AS127*EXP(-$E$98*$E$88*AM$160))</f>
        <v>62.547702566192342</v>
      </c>
      <c r="AN182" s="293">
        <f t="shared" si="235"/>
        <v>60.504148871912967</v>
      </c>
      <c r="AO182" s="293">
        <f t="shared" si="235"/>
        <v>56.83866500956173</v>
      </c>
      <c r="AP182" s="293">
        <f t="shared" si="235"/>
        <v>53.394984404674652</v>
      </c>
      <c r="AQ182" s="293">
        <f t="shared" si="235"/>
        <v>50.159945838474904</v>
      </c>
      <c r="AR182" s="293">
        <f t="shared" si="235"/>
        <v>47.12090835067977</v>
      </c>
      <c r="AS182" s="293">
        <f t="shared" si="235"/>
        <v>44.265996836265174</v>
      </c>
      <c r="AT182" s="293">
        <f t="shared" si="235"/>
        <v>41.58405566644749</v>
      </c>
      <c r="AU182" s="293">
        <f t="shared" si="235"/>
        <v>39.06460509782351</v>
      </c>
      <c r="AV182" s="293">
        <f t="shared" si="235"/>
        <v>36.697800322545305</v>
      </c>
      <c r="AW182" s="293">
        <f t="shared" si="235"/>
        <v>34.474392999519644</v>
      </c>
      <c r="AX182" s="293">
        <f t="shared" si="235"/>
        <v>18.452812844247962</v>
      </c>
      <c r="AY182" s="293">
        <f t="shared" si="235"/>
        <v>5.2868193954403688</v>
      </c>
      <c r="AZ182" s="293">
        <f t="shared" si="235"/>
        <v>1.5146991169271558</v>
      </c>
      <c r="BA182" s="293">
        <f t="shared" si="235"/>
        <v>0.43396856279952412</v>
      </c>
      <c r="BB182" s="293">
        <f t="shared" si="235"/>
        <v>0.12433407492858632</v>
      </c>
      <c r="BC182" s="1091">
        <f t="shared" si="229"/>
        <v>58.492722000000008</v>
      </c>
      <c r="BD182" s="293">
        <f t="shared" ref="BD182:BS182" si="236">$BQ127+(($BD127-$BQ127-$BH127-$BI127-$BJ127)*EXP(-$E$99*$E$88*BD$160))+($BH127*EXP(-$E$98*$E$88*BD$160))+($BI127*EXP(-$E$98*$E$88*BD$160))+($BJ127*EXP(-$E$98*$E$88*BD$160))</f>
        <v>60.272826415226412</v>
      </c>
      <c r="BE182" s="293">
        <f t="shared" si="236"/>
        <v>58.277991444872725</v>
      </c>
      <c r="BF182" s="293">
        <f t="shared" si="236"/>
        <v>54.747368408338367</v>
      </c>
      <c r="BG182" s="293">
        <f t="shared" si="236"/>
        <v>51.430393058069214</v>
      </c>
      <c r="BH182" s="293">
        <f t="shared" si="236"/>
        <v>48.31438306438335</v>
      </c>
      <c r="BI182" s="293">
        <f t="shared" si="236"/>
        <v>45.387162572455885</v>
      </c>
      <c r="BJ182" s="293">
        <f t="shared" si="236"/>
        <v>42.637293404603938</v>
      </c>
      <c r="BK182" s="293">
        <f t="shared" si="236"/>
        <v>40.054030387295796</v>
      </c>
      <c r="BL182" s="293">
        <f t="shared" si="236"/>
        <v>37.627279364153573</v>
      </c>
      <c r="BM182" s="293">
        <f t="shared" si="236"/>
        <v>35.347557752817799</v>
      </c>
      <c r="BN182" s="293">
        <f t="shared" si="236"/>
        <v>33.205957491550791</v>
      </c>
      <c r="BO182" s="293">
        <f t="shared" si="236"/>
        <v>17.773868242268342</v>
      </c>
      <c r="BP182" s="293">
        <f t="shared" si="236"/>
        <v>5.0922985101708758</v>
      </c>
      <c r="BQ182" s="293">
        <f t="shared" si="236"/>
        <v>1.4589679502079553</v>
      </c>
      <c r="BR182" s="293">
        <f t="shared" si="236"/>
        <v>0.4180013161998582</v>
      </c>
      <c r="BS182" s="293">
        <f t="shared" si="236"/>
        <v>0.11975938218513246</v>
      </c>
      <c r="BT182" s="1091">
        <f t="shared" si="231"/>
        <v>52.714260000000003</v>
      </c>
      <c r="BU182" s="293">
        <f t="shared" ref="BU182:CJ182" si="237">$CH127+(($BU127-$CH127-$BY127-$BZ127-$CA127)*EXP(-$E$99*$E$88*BU$160))+($BY127*EXP(-$E$98*$E$88*BU$160))+($BZ127*EXP(-$E$98*$E$88*BU$160))+($CA127*EXP(-$E$98*$E$88*BU$160))</f>
        <v>54.259345089260584</v>
      </c>
      <c r="BV182" s="293">
        <f t="shared" si="237"/>
        <v>52.428897303277338</v>
      </c>
      <c r="BW182" s="293">
        <f t="shared" si="237"/>
        <v>49.25261985892255</v>
      </c>
      <c r="BX182" s="293">
        <f t="shared" si="237"/>
        <v>46.268554491267409</v>
      </c>
      <c r="BY182" s="293">
        <f t="shared" si="237"/>
        <v>43.465284486595131</v>
      </c>
      <c r="BZ182" s="293">
        <f t="shared" si="237"/>
        <v>40.831856025611387</v>
      </c>
      <c r="CA182" s="293">
        <f t="shared" si="237"/>
        <v>38.357978929378469</v>
      </c>
      <c r="CB182" s="293">
        <f t="shared" si="237"/>
        <v>36.033986469382192</v>
      </c>
      <c r="CC182" s="293">
        <f t="shared" si="237"/>
        <v>33.850797594581671</v>
      </c>
      <c r="CD182" s="293">
        <f t="shared" si="237"/>
        <v>31.799881447005006</v>
      </c>
      <c r="CE182" s="293">
        <f t="shared" si="237"/>
        <v>29.8732240272364</v>
      </c>
      <c r="CF182" s="293">
        <f t="shared" si="237"/>
        <v>15.989984567286378</v>
      </c>
      <c r="CG182" s="293">
        <f t="shared" si="237"/>
        <v>4.5812072802479582</v>
      </c>
      <c r="CH182" s="293">
        <f t="shared" si="237"/>
        <v>1.3125378612018652</v>
      </c>
      <c r="CI182" s="293">
        <f t="shared" si="237"/>
        <v>0.37604839329494877</v>
      </c>
      <c r="CJ182" s="1100">
        <f t="shared" si="237"/>
        <v>0.10773966853057018</v>
      </c>
    </row>
    <row r="183" spans="2:88" ht="18">
      <c r="B183" s="302"/>
      <c r="C183" s="223">
        <f t="shared" si="222"/>
        <v>0</v>
      </c>
      <c r="D183" s="295">
        <f t="shared" si="223"/>
        <v>61.141547999999993</v>
      </c>
      <c r="E183" s="293">
        <f t="shared" ref="E183:T183" si="238">$R128+(($E128-$R128-$I128-$J128-$K128)*EXP(-$E$99*$E$88*E$160))+($I128*EXP(-$E$98*$E$88*E$160))+($J128*EXP(-$E$98*$E$88*E$160))+($K128*EXP(-$E$98*$E$88*E$160))</f>
        <v>62.476160305498937</v>
      </c>
      <c r="F183" s="293">
        <f t="shared" si="238"/>
        <v>60.100376444754623</v>
      </c>
      <c r="G183" s="293">
        <f t="shared" si="238"/>
        <v>56.459288278855958</v>
      </c>
      <c r="H183" s="293">
        <f t="shared" si="238"/>
        <v>53.03859294279976</v>
      </c>
      <c r="I183" s="293">
        <f t="shared" si="238"/>
        <v>49.825147043714018</v>
      </c>
      <c r="J183" s="293">
        <f t="shared" si="238"/>
        <v>46.806393989467182</v>
      </c>
      <c r="K183" s="293">
        <f t="shared" si="238"/>
        <v>43.970537936899632</v>
      </c>
      <c r="L183" s="293">
        <f t="shared" si="238"/>
        <v>41.306497716859013</v>
      </c>
      <c r="M183" s="293">
        <f t="shared" si="238"/>
        <v>38.803863534292368</v>
      </c>
      <c r="N183" s="293">
        <f t="shared" si="238"/>
        <v>36.452856291745739</v>
      </c>
      <c r="O183" s="293">
        <f t="shared" si="238"/>
        <v>34.24428937732835</v>
      </c>
      <c r="P183" s="293">
        <f t="shared" si="238"/>
        <v>18.329647250726453</v>
      </c>
      <c r="Q183" s="293">
        <f t="shared" si="238"/>
        <v>5.2515318620883251</v>
      </c>
      <c r="R183" s="293">
        <f t="shared" si="238"/>
        <v>1.5045890693524313</v>
      </c>
      <c r="S183" s="293">
        <f t="shared" si="238"/>
        <v>0.4310719856728808</v>
      </c>
      <c r="T183" s="293">
        <f t="shared" si="238"/>
        <v>0.1235041916873275</v>
      </c>
      <c r="U183" s="1091">
        <f t="shared" si="225"/>
        <v>61.141547999999993</v>
      </c>
      <c r="V183" s="293">
        <f t="shared" ref="V183:AK183" si="239">$AI128+(($V128-$AI128-$Z128-$AA128-$AB128)*EXP(-$E$99*$E$88*V$160))+($Z128*EXP(-$E$98*$E$88*V$160))+($AA128*EXP(-$E$98*$E$88*V$160))+($AB128*EXP(-$E$98*$E$88*V$160))</f>
        <v>62.956515787710607</v>
      </c>
      <c r="W183" s="293">
        <f t="shared" si="239"/>
        <v>60.84607456517152</v>
      </c>
      <c r="X183" s="293">
        <f t="shared" si="239"/>
        <v>57.159865512751978</v>
      </c>
      <c r="Y183" s="293">
        <f t="shared" si="239"/>
        <v>53.696724352448811</v>
      </c>
      <c r="Z183" s="293">
        <f t="shared" si="239"/>
        <v>50.443404286986542</v>
      </c>
      <c r="AA183" s="293">
        <f t="shared" si="239"/>
        <v>47.387192919976442</v>
      </c>
      <c r="AB183" s="293">
        <f t="shared" si="239"/>
        <v>44.516148039088129</v>
      </c>
      <c r="AC183" s="293">
        <f t="shared" si="239"/>
        <v>41.81905097405788</v>
      </c>
      <c r="AD183" s="293">
        <f t="shared" si="239"/>
        <v>39.285362759492578</v>
      </c>
      <c r="AE183" s="293">
        <f t="shared" si="239"/>
        <v>36.905182953633386</v>
      </c>
      <c r="AF183" s="293">
        <f t="shared" si="239"/>
        <v>34.66921095216442</v>
      </c>
      <c r="AG183" s="293">
        <f t="shared" si="239"/>
        <v>18.557091379881747</v>
      </c>
      <c r="AH183" s="293">
        <f t="shared" si="239"/>
        <v>5.3166956961090053</v>
      </c>
      <c r="AI183" s="293">
        <f t="shared" si="239"/>
        <v>1.5232588203811572</v>
      </c>
      <c r="AJ183" s="293">
        <f t="shared" si="239"/>
        <v>0.43642095889879629</v>
      </c>
      <c r="AK183" s="293">
        <f t="shared" si="239"/>
        <v>0.12503669817482901</v>
      </c>
      <c r="AL183" s="1091">
        <f t="shared" si="227"/>
        <v>60.656366999999996</v>
      </c>
      <c r="AM183" s="293">
        <f t="shared" ref="AM183:BB183" si="240">$AZ128+(($AM128-$AZ128-$AQ128-$AR128-$AS128)*EXP(-$E$99*$E$88*AM$160))+($AQ128*EXP(-$E$98*$E$88*AM$160))+($AR128*EXP(-$E$98*$E$88*AM$160))+($AS128*EXP(-$E$98*$E$88*AM$160))</f>
        <v>62.547702566192342</v>
      </c>
      <c r="AN183" s="293">
        <f t="shared" si="240"/>
        <v>60.504148871912967</v>
      </c>
      <c r="AO183" s="293">
        <f t="shared" si="240"/>
        <v>56.83866500956173</v>
      </c>
      <c r="AP183" s="293">
        <f t="shared" si="240"/>
        <v>53.394984404674652</v>
      </c>
      <c r="AQ183" s="293">
        <f t="shared" si="240"/>
        <v>50.159945838474904</v>
      </c>
      <c r="AR183" s="293">
        <f t="shared" si="240"/>
        <v>47.12090835067977</v>
      </c>
      <c r="AS183" s="293">
        <f t="shared" si="240"/>
        <v>44.265996836265174</v>
      </c>
      <c r="AT183" s="293">
        <f t="shared" si="240"/>
        <v>41.58405566644749</v>
      </c>
      <c r="AU183" s="293">
        <f t="shared" si="240"/>
        <v>39.06460509782351</v>
      </c>
      <c r="AV183" s="293">
        <f t="shared" si="240"/>
        <v>36.697800322545305</v>
      </c>
      <c r="AW183" s="293">
        <f t="shared" si="240"/>
        <v>34.474392999519644</v>
      </c>
      <c r="AX183" s="293">
        <f t="shared" si="240"/>
        <v>18.452812844247962</v>
      </c>
      <c r="AY183" s="293">
        <f t="shared" si="240"/>
        <v>5.2868193954403688</v>
      </c>
      <c r="AZ183" s="293">
        <f t="shared" si="240"/>
        <v>1.5146991169271558</v>
      </c>
      <c r="BA183" s="293">
        <f t="shared" si="240"/>
        <v>0.43396856279952412</v>
      </c>
      <c r="BB183" s="293">
        <f t="shared" si="240"/>
        <v>0.12433407492858632</v>
      </c>
      <c r="BC183" s="1091">
        <f t="shared" si="229"/>
        <v>58.492722000000008</v>
      </c>
      <c r="BD183" s="293">
        <f t="shared" ref="BD183:BS183" si="241">$BQ128+(($BD128-$BQ128-$BH128-$BI128-$BJ128)*EXP(-$E$99*$E$88*BD$160))+($BH128*EXP(-$E$98*$E$88*BD$160))+($BI128*EXP(-$E$98*$E$88*BD$160))+($BJ128*EXP(-$E$98*$E$88*BD$160))</f>
        <v>60.272826415226412</v>
      </c>
      <c r="BE183" s="293">
        <f t="shared" si="241"/>
        <v>58.277991444872725</v>
      </c>
      <c r="BF183" s="293">
        <f t="shared" si="241"/>
        <v>54.747368408338367</v>
      </c>
      <c r="BG183" s="293">
        <f t="shared" si="241"/>
        <v>51.430393058069214</v>
      </c>
      <c r="BH183" s="293">
        <f t="shared" si="241"/>
        <v>48.31438306438335</v>
      </c>
      <c r="BI183" s="293">
        <f t="shared" si="241"/>
        <v>45.387162572455885</v>
      </c>
      <c r="BJ183" s="293">
        <f t="shared" si="241"/>
        <v>42.637293404603938</v>
      </c>
      <c r="BK183" s="293">
        <f t="shared" si="241"/>
        <v>40.054030387295796</v>
      </c>
      <c r="BL183" s="293">
        <f t="shared" si="241"/>
        <v>37.627279364153573</v>
      </c>
      <c r="BM183" s="293">
        <f t="shared" si="241"/>
        <v>35.347557752817799</v>
      </c>
      <c r="BN183" s="293">
        <f t="shared" si="241"/>
        <v>33.205957491550791</v>
      </c>
      <c r="BO183" s="293">
        <f t="shared" si="241"/>
        <v>17.773868242268342</v>
      </c>
      <c r="BP183" s="293">
        <f t="shared" si="241"/>
        <v>5.0922985101708758</v>
      </c>
      <c r="BQ183" s="293">
        <f t="shared" si="241"/>
        <v>1.4589679502079553</v>
      </c>
      <c r="BR183" s="293">
        <f t="shared" si="241"/>
        <v>0.4180013161998582</v>
      </c>
      <c r="BS183" s="293">
        <f t="shared" si="241"/>
        <v>0.11975938218513246</v>
      </c>
      <c r="BT183" s="1091">
        <f t="shared" si="231"/>
        <v>52.714260000000003</v>
      </c>
      <c r="BU183" s="293">
        <f t="shared" ref="BU183:CJ183" si="242">$CH128+(($BU128-$CH128-$BY128-$BZ128-$CA128)*EXP(-$E$99*$E$88*BU$160))+($BY128*EXP(-$E$98*$E$88*BU$160))+($BZ128*EXP(-$E$98*$E$88*BU$160))+($CA128*EXP(-$E$98*$E$88*BU$160))</f>
        <v>54.259345089260584</v>
      </c>
      <c r="BV183" s="293">
        <f t="shared" si="242"/>
        <v>52.428897303277338</v>
      </c>
      <c r="BW183" s="293">
        <f t="shared" si="242"/>
        <v>49.25261985892255</v>
      </c>
      <c r="BX183" s="293">
        <f t="shared" si="242"/>
        <v>46.268554491267409</v>
      </c>
      <c r="BY183" s="293">
        <f t="shared" si="242"/>
        <v>43.465284486595131</v>
      </c>
      <c r="BZ183" s="293">
        <f t="shared" si="242"/>
        <v>40.831856025611387</v>
      </c>
      <c r="CA183" s="293">
        <f t="shared" si="242"/>
        <v>38.357978929378469</v>
      </c>
      <c r="CB183" s="293">
        <f t="shared" si="242"/>
        <v>36.033986469382192</v>
      </c>
      <c r="CC183" s="293">
        <f t="shared" si="242"/>
        <v>33.850797594581671</v>
      </c>
      <c r="CD183" s="293">
        <f t="shared" si="242"/>
        <v>31.799881447005006</v>
      </c>
      <c r="CE183" s="293">
        <f t="shared" si="242"/>
        <v>29.8732240272364</v>
      </c>
      <c r="CF183" s="293">
        <f t="shared" si="242"/>
        <v>15.989984567286378</v>
      </c>
      <c r="CG183" s="293">
        <f t="shared" si="242"/>
        <v>4.5812072802479582</v>
      </c>
      <c r="CH183" s="293">
        <f t="shared" si="242"/>
        <v>1.3125378612018652</v>
      </c>
      <c r="CI183" s="293">
        <f t="shared" si="242"/>
        <v>0.37604839329494877</v>
      </c>
      <c r="CJ183" s="1100">
        <f t="shared" si="242"/>
        <v>0.10773966853057018</v>
      </c>
    </row>
    <row r="184" spans="2:88" ht="18">
      <c r="B184" s="302"/>
      <c r="C184" s="223">
        <f t="shared" si="222"/>
        <v>0</v>
      </c>
      <c r="D184" s="295">
        <f t="shared" si="223"/>
        <v>61.141547999999993</v>
      </c>
      <c r="E184" s="293">
        <f t="shared" ref="E184:T184" si="243">$R129+(($E129-$R129-$I129-$J129-$K129)*EXP(-$E$99*$E$88*E$160))+($I129*EXP(-$E$98*$E$88*E$160))+($J129*EXP(-$E$98*$E$88*E$160))+($K129*EXP(-$E$98*$E$88*E$160))</f>
        <v>62.476160305498937</v>
      </c>
      <c r="F184" s="293">
        <f t="shared" si="243"/>
        <v>60.100376444754623</v>
      </c>
      <c r="G184" s="293">
        <f t="shared" si="243"/>
        <v>56.459288278855958</v>
      </c>
      <c r="H184" s="293">
        <f t="shared" si="243"/>
        <v>53.03859294279976</v>
      </c>
      <c r="I184" s="293">
        <f t="shared" si="243"/>
        <v>49.825147043714018</v>
      </c>
      <c r="J184" s="293">
        <f t="shared" si="243"/>
        <v>46.806393989467182</v>
      </c>
      <c r="K184" s="293">
        <f t="shared" si="243"/>
        <v>43.970537936899632</v>
      </c>
      <c r="L184" s="293">
        <f t="shared" si="243"/>
        <v>41.306497716859013</v>
      </c>
      <c r="M184" s="293">
        <f t="shared" si="243"/>
        <v>38.803863534292368</v>
      </c>
      <c r="N184" s="293">
        <f t="shared" si="243"/>
        <v>36.452856291745739</v>
      </c>
      <c r="O184" s="293">
        <f t="shared" si="243"/>
        <v>34.24428937732835</v>
      </c>
      <c r="P184" s="293">
        <f t="shared" si="243"/>
        <v>18.329647250726453</v>
      </c>
      <c r="Q184" s="293">
        <f t="shared" si="243"/>
        <v>5.2515318620883251</v>
      </c>
      <c r="R184" s="293">
        <f t="shared" si="243"/>
        <v>1.5045890693524313</v>
      </c>
      <c r="S184" s="293">
        <f t="shared" si="243"/>
        <v>0.4310719856728808</v>
      </c>
      <c r="T184" s="293">
        <f t="shared" si="243"/>
        <v>0.1235041916873275</v>
      </c>
      <c r="U184" s="1091">
        <f t="shared" si="225"/>
        <v>61.141547999999993</v>
      </c>
      <c r="V184" s="293">
        <f t="shared" ref="V184:AK184" si="244">$AI129+(($V129-$AI129-$Z129-$AA129-$AB129)*EXP(-$E$99*$E$88*V$160))+($Z129*EXP(-$E$98*$E$88*V$160))+($AA129*EXP(-$E$98*$E$88*V$160))+($AB129*EXP(-$E$98*$E$88*V$160))</f>
        <v>62.956515787710607</v>
      </c>
      <c r="W184" s="293">
        <f t="shared" si="244"/>
        <v>60.84607456517152</v>
      </c>
      <c r="X184" s="293">
        <f t="shared" si="244"/>
        <v>57.159865512751978</v>
      </c>
      <c r="Y184" s="293">
        <f t="shared" si="244"/>
        <v>53.696724352448811</v>
      </c>
      <c r="Z184" s="293">
        <f t="shared" si="244"/>
        <v>50.443404286986542</v>
      </c>
      <c r="AA184" s="293">
        <f t="shared" si="244"/>
        <v>47.387192919976442</v>
      </c>
      <c r="AB184" s="293">
        <f t="shared" si="244"/>
        <v>44.516148039088129</v>
      </c>
      <c r="AC184" s="293">
        <f t="shared" si="244"/>
        <v>41.81905097405788</v>
      </c>
      <c r="AD184" s="293">
        <f t="shared" si="244"/>
        <v>39.285362759492578</v>
      </c>
      <c r="AE184" s="293">
        <f t="shared" si="244"/>
        <v>36.905182953633386</v>
      </c>
      <c r="AF184" s="293">
        <f t="shared" si="244"/>
        <v>34.66921095216442</v>
      </c>
      <c r="AG184" s="293">
        <f t="shared" si="244"/>
        <v>18.557091379881747</v>
      </c>
      <c r="AH184" s="293">
        <f t="shared" si="244"/>
        <v>5.3166956961090053</v>
      </c>
      <c r="AI184" s="293">
        <f t="shared" si="244"/>
        <v>1.5232588203811572</v>
      </c>
      <c r="AJ184" s="293">
        <f t="shared" si="244"/>
        <v>0.43642095889879629</v>
      </c>
      <c r="AK184" s="293">
        <f t="shared" si="244"/>
        <v>0.12503669817482901</v>
      </c>
      <c r="AL184" s="1091">
        <f t="shared" si="227"/>
        <v>60.656366999999996</v>
      </c>
      <c r="AM184" s="293">
        <f t="shared" ref="AM184:BB184" si="245">$AZ129+(($AM129-$AZ129-$AQ129-$AR129-$AS129)*EXP(-$E$99*$E$88*AM$160))+($AQ129*EXP(-$E$98*$E$88*AM$160))+($AR129*EXP(-$E$98*$E$88*AM$160))+($AS129*EXP(-$E$98*$E$88*AM$160))</f>
        <v>62.547702566192342</v>
      </c>
      <c r="AN184" s="293">
        <f t="shared" si="245"/>
        <v>60.504148871912967</v>
      </c>
      <c r="AO184" s="293">
        <f t="shared" si="245"/>
        <v>56.83866500956173</v>
      </c>
      <c r="AP184" s="293">
        <f t="shared" si="245"/>
        <v>53.394984404674652</v>
      </c>
      <c r="AQ184" s="293">
        <f t="shared" si="245"/>
        <v>50.159945838474904</v>
      </c>
      <c r="AR184" s="293">
        <f t="shared" si="245"/>
        <v>47.12090835067977</v>
      </c>
      <c r="AS184" s="293">
        <f t="shared" si="245"/>
        <v>44.265996836265174</v>
      </c>
      <c r="AT184" s="293">
        <f t="shared" si="245"/>
        <v>41.58405566644749</v>
      </c>
      <c r="AU184" s="293">
        <f t="shared" si="245"/>
        <v>39.06460509782351</v>
      </c>
      <c r="AV184" s="293">
        <f t="shared" si="245"/>
        <v>36.697800322545305</v>
      </c>
      <c r="AW184" s="293">
        <f t="shared" si="245"/>
        <v>34.474392999519644</v>
      </c>
      <c r="AX184" s="293">
        <f t="shared" si="245"/>
        <v>18.452812844247962</v>
      </c>
      <c r="AY184" s="293">
        <f t="shared" si="245"/>
        <v>5.2868193954403688</v>
      </c>
      <c r="AZ184" s="293">
        <f t="shared" si="245"/>
        <v>1.5146991169271558</v>
      </c>
      <c r="BA184" s="293">
        <f t="shared" si="245"/>
        <v>0.43396856279952412</v>
      </c>
      <c r="BB184" s="293">
        <f t="shared" si="245"/>
        <v>0.12433407492858632</v>
      </c>
      <c r="BC184" s="1091">
        <f t="shared" si="229"/>
        <v>58.492722000000008</v>
      </c>
      <c r="BD184" s="293">
        <f t="shared" ref="BD184:BS184" si="246">$BQ129+(($BD129-$BQ129-$BH129-$BI129-$BJ129)*EXP(-$E$99*$E$88*BD$160))+($BH129*EXP(-$E$98*$E$88*BD$160))+($BI129*EXP(-$E$98*$E$88*BD$160))+($BJ129*EXP(-$E$98*$E$88*BD$160))</f>
        <v>60.272826415226412</v>
      </c>
      <c r="BE184" s="293">
        <f t="shared" si="246"/>
        <v>58.277991444872725</v>
      </c>
      <c r="BF184" s="293">
        <f t="shared" si="246"/>
        <v>54.747368408338367</v>
      </c>
      <c r="BG184" s="293">
        <f t="shared" si="246"/>
        <v>51.430393058069214</v>
      </c>
      <c r="BH184" s="293">
        <f t="shared" si="246"/>
        <v>48.31438306438335</v>
      </c>
      <c r="BI184" s="293">
        <f t="shared" si="246"/>
        <v>45.387162572455885</v>
      </c>
      <c r="BJ184" s="293">
        <f t="shared" si="246"/>
        <v>42.637293404603938</v>
      </c>
      <c r="BK184" s="293">
        <f t="shared" si="246"/>
        <v>40.054030387295796</v>
      </c>
      <c r="BL184" s="293">
        <f t="shared" si="246"/>
        <v>37.627279364153573</v>
      </c>
      <c r="BM184" s="293">
        <f t="shared" si="246"/>
        <v>35.347557752817799</v>
      </c>
      <c r="BN184" s="293">
        <f t="shared" si="246"/>
        <v>33.205957491550791</v>
      </c>
      <c r="BO184" s="293">
        <f t="shared" si="246"/>
        <v>17.773868242268342</v>
      </c>
      <c r="BP184" s="293">
        <f t="shared" si="246"/>
        <v>5.0922985101708758</v>
      </c>
      <c r="BQ184" s="293">
        <f t="shared" si="246"/>
        <v>1.4589679502079553</v>
      </c>
      <c r="BR184" s="293">
        <f t="shared" si="246"/>
        <v>0.4180013161998582</v>
      </c>
      <c r="BS184" s="293">
        <f t="shared" si="246"/>
        <v>0.11975938218513246</v>
      </c>
      <c r="BT184" s="1091">
        <f t="shared" si="231"/>
        <v>52.714260000000003</v>
      </c>
      <c r="BU184" s="293">
        <f t="shared" ref="BU184:CJ184" si="247">$CH129+(($BU129-$CH129-$BY129-$BZ129-$CA129)*EXP(-$E$99*$E$88*BU$160))+($BY129*EXP(-$E$98*$E$88*BU$160))+($BZ129*EXP(-$E$98*$E$88*BU$160))+($CA129*EXP(-$E$98*$E$88*BU$160))</f>
        <v>54.259345089260584</v>
      </c>
      <c r="BV184" s="293">
        <f t="shared" si="247"/>
        <v>52.428897303277338</v>
      </c>
      <c r="BW184" s="293">
        <f t="shared" si="247"/>
        <v>49.25261985892255</v>
      </c>
      <c r="BX184" s="293">
        <f t="shared" si="247"/>
        <v>46.268554491267409</v>
      </c>
      <c r="BY184" s="293">
        <f t="shared" si="247"/>
        <v>43.465284486595131</v>
      </c>
      <c r="BZ184" s="293">
        <f t="shared" si="247"/>
        <v>40.831856025611387</v>
      </c>
      <c r="CA184" s="293">
        <f t="shared" si="247"/>
        <v>38.357978929378469</v>
      </c>
      <c r="CB184" s="293">
        <f t="shared" si="247"/>
        <v>36.033986469382192</v>
      </c>
      <c r="CC184" s="293">
        <f t="shared" si="247"/>
        <v>33.850797594581671</v>
      </c>
      <c r="CD184" s="293">
        <f t="shared" si="247"/>
        <v>31.799881447005006</v>
      </c>
      <c r="CE184" s="293">
        <f t="shared" si="247"/>
        <v>29.8732240272364</v>
      </c>
      <c r="CF184" s="293">
        <f t="shared" si="247"/>
        <v>15.989984567286378</v>
      </c>
      <c r="CG184" s="293">
        <f t="shared" si="247"/>
        <v>4.5812072802479582</v>
      </c>
      <c r="CH184" s="293">
        <f t="shared" si="247"/>
        <v>1.3125378612018652</v>
      </c>
      <c r="CI184" s="293">
        <f t="shared" si="247"/>
        <v>0.37604839329494877</v>
      </c>
      <c r="CJ184" s="1100">
        <f t="shared" si="247"/>
        <v>0.10773966853057018</v>
      </c>
    </row>
    <row r="185" spans="2:88" ht="18">
      <c r="B185" s="302"/>
      <c r="C185" s="223">
        <f t="shared" si="222"/>
        <v>0</v>
      </c>
      <c r="D185" s="295">
        <f t="shared" si="223"/>
        <v>61.141547999999993</v>
      </c>
      <c r="E185" s="293">
        <f t="shared" ref="E185:T185" si="248">$R130+(($E130-$R130-$I130-$J130-$K130)*EXP(-$E$99*$E$88*E$160))+($I130*EXP(-$E$98*$E$88*E$160))+($J130*EXP(-$E$98*$E$88*E$160))+($K130*EXP(-$E$98*$E$88*E$160))</f>
        <v>62.476160305498937</v>
      </c>
      <c r="F185" s="293">
        <f t="shared" si="248"/>
        <v>60.100376444754623</v>
      </c>
      <c r="G185" s="293">
        <f t="shared" si="248"/>
        <v>56.459288278855958</v>
      </c>
      <c r="H185" s="293">
        <f t="shared" si="248"/>
        <v>53.03859294279976</v>
      </c>
      <c r="I185" s="293">
        <f t="shared" si="248"/>
        <v>49.825147043714018</v>
      </c>
      <c r="J185" s="293">
        <f t="shared" si="248"/>
        <v>46.806393989467182</v>
      </c>
      <c r="K185" s="293">
        <f t="shared" si="248"/>
        <v>43.970537936899632</v>
      </c>
      <c r="L185" s="293">
        <f t="shared" si="248"/>
        <v>41.306497716859013</v>
      </c>
      <c r="M185" s="293">
        <f t="shared" si="248"/>
        <v>38.803863534292368</v>
      </c>
      <c r="N185" s="293">
        <f t="shared" si="248"/>
        <v>36.452856291745739</v>
      </c>
      <c r="O185" s="293">
        <f t="shared" si="248"/>
        <v>34.24428937732835</v>
      </c>
      <c r="P185" s="293">
        <f t="shared" si="248"/>
        <v>18.329647250726453</v>
      </c>
      <c r="Q185" s="293">
        <f t="shared" si="248"/>
        <v>5.2515318620883251</v>
      </c>
      <c r="R185" s="293">
        <f t="shared" si="248"/>
        <v>1.5045890693524313</v>
      </c>
      <c r="S185" s="293">
        <f t="shared" si="248"/>
        <v>0.4310719856728808</v>
      </c>
      <c r="T185" s="293">
        <f t="shared" si="248"/>
        <v>0.1235041916873275</v>
      </c>
      <c r="U185" s="1091">
        <f t="shared" si="225"/>
        <v>61.141547999999993</v>
      </c>
      <c r="V185" s="293">
        <f t="shared" ref="V185:AK185" si="249">$AI130+(($V130-$AI130-$Z130-$AA130-$AB130)*EXP(-$E$99*$E$88*V$160))+($Z130*EXP(-$E$98*$E$88*V$160))+($AA130*EXP(-$E$98*$E$88*V$160))+($AB130*EXP(-$E$98*$E$88*V$160))</f>
        <v>62.956515787710607</v>
      </c>
      <c r="W185" s="293">
        <f t="shared" si="249"/>
        <v>60.84607456517152</v>
      </c>
      <c r="X185" s="293">
        <f t="shared" si="249"/>
        <v>57.159865512751978</v>
      </c>
      <c r="Y185" s="293">
        <f t="shared" si="249"/>
        <v>53.696724352448811</v>
      </c>
      <c r="Z185" s="293">
        <f t="shared" si="249"/>
        <v>50.443404286986542</v>
      </c>
      <c r="AA185" s="293">
        <f t="shared" si="249"/>
        <v>47.387192919976442</v>
      </c>
      <c r="AB185" s="293">
        <f t="shared" si="249"/>
        <v>44.516148039088129</v>
      </c>
      <c r="AC185" s="293">
        <f t="shared" si="249"/>
        <v>41.81905097405788</v>
      </c>
      <c r="AD185" s="293">
        <f t="shared" si="249"/>
        <v>39.285362759492578</v>
      </c>
      <c r="AE185" s="293">
        <f t="shared" si="249"/>
        <v>36.905182953633386</v>
      </c>
      <c r="AF185" s="293">
        <f t="shared" si="249"/>
        <v>34.66921095216442</v>
      </c>
      <c r="AG185" s="293">
        <f t="shared" si="249"/>
        <v>18.557091379881747</v>
      </c>
      <c r="AH185" s="293">
        <f t="shared" si="249"/>
        <v>5.3166956961090053</v>
      </c>
      <c r="AI185" s="293">
        <f t="shared" si="249"/>
        <v>1.5232588203811572</v>
      </c>
      <c r="AJ185" s="293">
        <f t="shared" si="249"/>
        <v>0.43642095889879629</v>
      </c>
      <c r="AK185" s="293">
        <f t="shared" si="249"/>
        <v>0.12503669817482901</v>
      </c>
      <c r="AL185" s="1091">
        <f t="shared" si="227"/>
        <v>60.656366999999996</v>
      </c>
      <c r="AM185" s="293">
        <f t="shared" ref="AM185:BB185" si="250">$AZ130+(($AM130-$AZ130-$AQ130-$AR130-$AS130)*EXP(-$E$99*$E$88*AM$160))+($AQ130*EXP(-$E$98*$E$88*AM$160))+($AR130*EXP(-$E$98*$E$88*AM$160))+($AS130*EXP(-$E$98*$E$88*AM$160))</f>
        <v>62.547702566192342</v>
      </c>
      <c r="AN185" s="293">
        <f t="shared" si="250"/>
        <v>60.504148871912967</v>
      </c>
      <c r="AO185" s="293">
        <f t="shared" si="250"/>
        <v>56.83866500956173</v>
      </c>
      <c r="AP185" s="293">
        <f t="shared" si="250"/>
        <v>53.394984404674652</v>
      </c>
      <c r="AQ185" s="293">
        <f t="shared" si="250"/>
        <v>50.159945838474904</v>
      </c>
      <c r="AR185" s="293">
        <f t="shared" si="250"/>
        <v>47.12090835067977</v>
      </c>
      <c r="AS185" s="293">
        <f t="shared" si="250"/>
        <v>44.265996836265174</v>
      </c>
      <c r="AT185" s="293">
        <f t="shared" si="250"/>
        <v>41.58405566644749</v>
      </c>
      <c r="AU185" s="293">
        <f t="shared" si="250"/>
        <v>39.06460509782351</v>
      </c>
      <c r="AV185" s="293">
        <f t="shared" si="250"/>
        <v>36.697800322545305</v>
      </c>
      <c r="AW185" s="293">
        <f t="shared" si="250"/>
        <v>34.474392999519644</v>
      </c>
      <c r="AX185" s="293">
        <f t="shared" si="250"/>
        <v>18.452812844247962</v>
      </c>
      <c r="AY185" s="293">
        <f t="shared" si="250"/>
        <v>5.2868193954403688</v>
      </c>
      <c r="AZ185" s="293">
        <f t="shared" si="250"/>
        <v>1.5146991169271558</v>
      </c>
      <c r="BA185" s="293">
        <f t="shared" si="250"/>
        <v>0.43396856279952412</v>
      </c>
      <c r="BB185" s="293">
        <f t="shared" si="250"/>
        <v>0.12433407492858632</v>
      </c>
      <c r="BC185" s="1091">
        <f t="shared" si="229"/>
        <v>58.492722000000008</v>
      </c>
      <c r="BD185" s="293">
        <f t="shared" ref="BD185:BS185" si="251">$BQ130+(($BD130-$BQ130-$BH130-$BI130-$BJ130)*EXP(-$E$99*$E$88*BD$160))+($BH130*EXP(-$E$98*$E$88*BD$160))+($BI130*EXP(-$E$98*$E$88*BD$160))+($BJ130*EXP(-$E$98*$E$88*BD$160))</f>
        <v>60.272826415226412</v>
      </c>
      <c r="BE185" s="293">
        <f t="shared" si="251"/>
        <v>58.277991444872725</v>
      </c>
      <c r="BF185" s="293">
        <f t="shared" si="251"/>
        <v>54.747368408338367</v>
      </c>
      <c r="BG185" s="293">
        <f t="shared" si="251"/>
        <v>51.430393058069214</v>
      </c>
      <c r="BH185" s="293">
        <f t="shared" si="251"/>
        <v>48.31438306438335</v>
      </c>
      <c r="BI185" s="293">
        <f t="shared" si="251"/>
        <v>45.387162572455885</v>
      </c>
      <c r="BJ185" s="293">
        <f t="shared" si="251"/>
        <v>42.637293404603938</v>
      </c>
      <c r="BK185" s="293">
        <f t="shared" si="251"/>
        <v>40.054030387295796</v>
      </c>
      <c r="BL185" s="293">
        <f t="shared" si="251"/>
        <v>37.627279364153573</v>
      </c>
      <c r="BM185" s="293">
        <f t="shared" si="251"/>
        <v>35.347557752817799</v>
      </c>
      <c r="BN185" s="293">
        <f t="shared" si="251"/>
        <v>33.205957491550791</v>
      </c>
      <c r="BO185" s="293">
        <f t="shared" si="251"/>
        <v>17.773868242268342</v>
      </c>
      <c r="BP185" s="293">
        <f t="shared" si="251"/>
        <v>5.0922985101708758</v>
      </c>
      <c r="BQ185" s="293">
        <f t="shared" si="251"/>
        <v>1.4589679502079553</v>
      </c>
      <c r="BR185" s="293">
        <f t="shared" si="251"/>
        <v>0.4180013161998582</v>
      </c>
      <c r="BS185" s="293">
        <f t="shared" si="251"/>
        <v>0.11975938218513246</v>
      </c>
      <c r="BT185" s="1091">
        <f t="shared" si="231"/>
        <v>52.714260000000003</v>
      </c>
      <c r="BU185" s="293">
        <f t="shared" ref="BU185:CJ185" si="252">$CH130+(($BU130-$CH130-$BY130-$BZ130-$CA130)*EXP(-$E$99*$E$88*BU$160))+($BY130*EXP(-$E$98*$E$88*BU$160))+($BZ130*EXP(-$E$98*$E$88*BU$160))+($CA130*EXP(-$E$98*$E$88*BU$160))</f>
        <v>54.259345089260584</v>
      </c>
      <c r="BV185" s="293">
        <f t="shared" si="252"/>
        <v>52.428897303277338</v>
      </c>
      <c r="BW185" s="293">
        <f t="shared" si="252"/>
        <v>49.25261985892255</v>
      </c>
      <c r="BX185" s="293">
        <f t="shared" si="252"/>
        <v>46.268554491267409</v>
      </c>
      <c r="BY185" s="293">
        <f t="shared" si="252"/>
        <v>43.465284486595131</v>
      </c>
      <c r="BZ185" s="293">
        <f t="shared" si="252"/>
        <v>40.831856025611387</v>
      </c>
      <c r="CA185" s="293">
        <f t="shared" si="252"/>
        <v>38.357978929378469</v>
      </c>
      <c r="CB185" s="293">
        <f t="shared" si="252"/>
        <v>36.033986469382192</v>
      </c>
      <c r="CC185" s="293">
        <f t="shared" si="252"/>
        <v>33.850797594581671</v>
      </c>
      <c r="CD185" s="293">
        <f t="shared" si="252"/>
        <v>31.799881447005006</v>
      </c>
      <c r="CE185" s="293">
        <f t="shared" si="252"/>
        <v>29.8732240272364</v>
      </c>
      <c r="CF185" s="293">
        <f t="shared" si="252"/>
        <v>15.989984567286378</v>
      </c>
      <c r="CG185" s="293">
        <f t="shared" si="252"/>
        <v>4.5812072802479582</v>
      </c>
      <c r="CH185" s="293">
        <f t="shared" si="252"/>
        <v>1.3125378612018652</v>
      </c>
      <c r="CI185" s="293">
        <f t="shared" si="252"/>
        <v>0.37604839329494877</v>
      </c>
      <c r="CJ185" s="1100">
        <f t="shared" si="252"/>
        <v>0.10773966853057018</v>
      </c>
    </row>
    <row r="186" spans="2:88" ht="18">
      <c r="B186" s="302"/>
      <c r="C186" s="223">
        <f t="shared" si="222"/>
        <v>0</v>
      </c>
      <c r="D186" s="295">
        <f t="shared" si="223"/>
        <v>61.141547999999993</v>
      </c>
      <c r="E186" s="293">
        <f t="shared" ref="E186:T186" si="253">$R131+(($E131-$R131-$I131-$J131-$K131)*EXP(-$E$99*$E$88*E$160))+($I131*EXP(-$E$98*$E$88*E$160))+($J131*EXP(-$E$98*$E$88*E$160))+($K131*EXP(-$E$98*$E$88*E$160))</f>
        <v>62.476160305498937</v>
      </c>
      <c r="F186" s="293">
        <f t="shared" si="253"/>
        <v>60.100376444754623</v>
      </c>
      <c r="G186" s="293">
        <f t="shared" si="253"/>
        <v>56.459288278855958</v>
      </c>
      <c r="H186" s="293">
        <f t="shared" si="253"/>
        <v>53.03859294279976</v>
      </c>
      <c r="I186" s="293">
        <f t="shared" si="253"/>
        <v>49.825147043714018</v>
      </c>
      <c r="J186" s="293">
        <f t="shared" si="253"/>
        <v>46.806393989467182</v>
      </c>
      <c r="K186" s="293">
        <f t="shared" si="253"/>
        <v>43.970537936899632</v>
      </c>
      <c r="L186" s="293">
        <f t="shared" si="253"/>
        <v>41.306497716859013</v>
      </c>
      <c r="M186" s="293">
        <f t="shared" si="253"/>
        <v>38.803863534292368</v>
      </c>
      <c r="N186" s="293">
        <f t="shared" si="253"/>
        <v>36.452856291745739</v>
      </c>
      <c r="O186" s="293">
        <f t="shared" si="253"/>
        <v>34.24428937732835</v>
      </c>
      <c r="P186" s="293">
        <f t="shared" si="253"/>
        <v>18.329647250726453</v>
      </c>
      <c r="Q186" s="293">
        <f t="shared" si="253"/>
        <v>5.2515318620883251</v>
      </c>
      <c r="R186" s="293">
        <f t="shared" si="253"/>
        <v>1.5045890693524313</v>
      </c>
      <c r="S186" s="293">
        <f t="shared" si="253"/>
        <v>0.4310719856728808</v>
      </c>
      <c r="T186" s="293">
        <f t="shared" si="253"/>
        <v>0.1235041916873275</v>
      </c>
      <c r="U186" s="1091">
        <f t="shared" si="225"/>
        <v>61.141547999999993</v>
      </c>
      <c r="V186" s="293">
        <f t="shared" ref="V186:AK186" si="254">$AI131+(($V131-$AI131-$Z131-$AA131-$AB131)*EXP(-$E$99*$E$88*V$160))+($Z131*EXP(-$E$98*$E$88*V$160))+($AA131*EXP(-$E$98*$E$88*V$160))+($AB131*EXP(-$E$98*$E$88*V$160))</f>
        <v>62.956515787710607</v>
      </c>
      <c r="W186" s="293">
        <f t="shared" si="254"/>
        <v>60.84607456517152</v>
      </c>
      <c r="X186" s="293">
        <f t="shared" si="254"/>
        <v>57.159865512751978</v>
      </c>
      <c r="Y186" s="293">
        <f t="shared" si="254"/>
        <v>53.696724352448811</v>
      </c>
      <c r="Z186" s="293">
        <f t="shared" si="254"/>
        <v>50.443404286986542</v>
      </c>
      <c r="AA186" s="293">
        <f t="shared" si="254"/>
        <v>47.387192919976442</v>
      </c>
      <c r="AB186" s="293">
        <f t="shared" si="254"/>
        <v>44.516148039088129</v>
      </c>
      <c r="AC186" s="293">
        <f t="shared" si="254"/>
        <v>41.81905097405788</v>
      </c>
      <c r="AD186" s="293">
        <f t="shared" si="254"/>
        <v>39.285362759492578</v>
      </c>
      <c r="AE186" s="293">
        <f t="shared" si="254"/>
        <v>36.905182953633386</v>
      </c>
      <c r="AF186" s="293">
        <f t="shared" si="254"/>
        <v>34.66921095216442</v>
      </c>
      <c r="AG186" s="293">
        <f t="shared" si="254"/>
        <v>18.557091379881747</v>
      </c>
      <c r="AH186" s="293">
        <f t="shared" si="254"/>
        <v>5.3166956961090053</v>
      </c>
      <c r="AI186" s="293">
        <f t="shared" si="254"/>
        <v>1.5232588203811572</v>
      </c>
      <c r="AJ186" s="293">
        <f t="shared" si="254"/>
        <v>0.43642095889879629</v>
      </c>
      <c r="AK186" s="293">
        <f t="shared" si="254"/>
        <v>0.12503669817482901</v>
      </c>
      <c r="AL186" s="1091">
        <f t="shared" si="227"/>
        <v>60.656366999999996</v>
      </c>
      <c r="AM186" s="293">
        <f t="shared" ref="AM186:BB186" si="255">$AZ131+(($AM131-$AZ131-$AQ131-$AR131-$AS131)*EXP(-$E$99*$E$88*AM$160))+($AQ131*EXP(-$E$98*$E$88*AM$160))+($AR131*EXP(-$E$98*$E$88*AM$160))+($AS131*EXP(-$E$98*$E$88*AM$160))</f>
        <v>62.547702566192342</v>
      </c>
      <c r="AN186" s="293">
        <f t="shared" si="255"/>
        <v>60.504148871912967</v>
      </c>
      <c r="AO186" s="293">
        <f t="shared" si="255"/>
        <v>56.83866500956173</v>
      </c>
      <c r="AP186" s="293">
        <f t="shared" si="255"/>
        <v>53.394984404674652</v>
      </c>
      <c r="AQ186" s="293">
        <f t="shared" si="255"/>
        <v>50.159945838474904</v>
      </c>
      <c r="AR186" s="293">
        <f t="shared" si="255"/>
        <v>47.12090835067977</v>
      </c>
      <c r="AS186" s="293">
        <f t="shared" si="255"/>
        <v>44.265996836265174</v>
      </c>
      <c r="AT186" s="293">
        <f t="shared" si="255"/>
        <v>41.58405566644749</v>
      </c>
      <c r="AU186" s="293">
        <f t="shared" si="255"/>
        <v>39.06460509782351</v>
      </c>
      <c r="AV186" s="293">
        <f t="shared" si="255"/>
        <v>36.697800322545305</v>
      </c>
      <c r="AW186" s="293">
        <f t="shared" si="255"/>
        <v>34.474392999519644</v>
      </c>
      <c r="AX186" s="293">
        <f t="shared" si="255"/>
        <v>18.452812844247962</v>
      </c>
      <c r="AY186" s="293">
        <f t="shared" si="255"/>
        <v>5.2868193954403688</v>
      </c>
      <c r="AZ186" s="293">
        <f t="shared" si="255"/>
        <v>1.5146991169271558</v>
      </c>
      <c r="BA186" s="293">
        <f t="shared" si="255"/>
        <v>0.43396856279952412</v>
      </c>
      <c r="BB186" s="293">
        <f t="shared" si="255"/>
        <v>0.12433407492858632</v>
      </c>
      <c r="BC186" s="1091">
        <f t="shared" si="229"/>
        <v>58.492722000000008</v>
      </c>
      <c r="BD186" s="293">
        <f t="shared" ref="BD186:BS186" si="256">$BQ131+(($BD131-$BQ131-$BH131-$BI131-$BJ131)*EXP(-$E$99*$E$88*BD$160))+($BH131*EXP(-$E$98*$E$88*BD$160))+($BI131*EXP(-$E$98*$E$88*BD$160))+($BJ131*EXP(-$E$98*$E$88*BD$160))</f>
        <v>60.272826415226412</v>
      </c>
      <c r="BE186" s="293">
        <f t="shared" si="256"/>
        <v>58.277991444872725</v>
      </c>
      <c r="BF186" s="293">
        <f t="shared" si="256"/>
        <v>54.747368408338367</v>
      </c>
      <c r="BG186" s="293">
        <f t="shared" si="256"/>
        <v>51.430393058069214</v>
      </c>
      <c r="BH186" s="293">
        <f t="shared" si="256"/>
        <v>48.31438306438335</v>
      </c>
      <c r="BI186" s="293">
        <f t="shared" si="256"/>
        <v>45.387162572455885</v>
      </c>
      <c r="BJ186" s="293">
        <f t="shared" si="256"/>
        <v>42.637293404603938</v>
      </c>
      <c r="BK186" s="293">
        <f t="shared" si="256"/>
        <v>40.054030387295796</v>
      </c>
      <c r="BL186" s="293">
        <f t="shared" si="256"/>
        <v>37.627279364153573</v>
      </c>
      <c r="BM186" s="293">
        <f t="shared" si="256"/>
        <v>35.347557752817799</v>
      </c>
      <c r="BN186" s="293">
        <f t="shared" si="256"/>
        <v>33.205957491550791</v>
      </c>
      <c r="BO186" s="293">
        <f t="shared" si="256"/>
        <v>17.773868242268342</v>
      </c>
      <c r="BP186" s="293">
        <f t="shared" si="256"/>
        <v>5.0922985101708758</v>
      </c>
      <c r="BQ186" s="293">
        <f t="shared" si="256"/>
        <v>1.4589679502079553</v>
      </c>
      <c r="BR186" s="293">
        <f t="shared" si="256"/>
        <v>0.4180013161998582</v>
      </c>
      <c r="BS186" s="293">
        <f t="shared" si="256"/>
        <v>0.11975938218513246</v>
      </c>
      <c r="BT186" s="1091">
        <f t="shared" si="231"/>
        <v>52.714260000000003</v>
      </c>
      <c r="BU186" s="293">
        <f t="shared" ref="BU186:CJ186" si="257">$CH131+(($BU131-$CH131-$BY131-$BZ131-$CA131)*EXP(-$E$99*$E$88*BU$160))+($BY131*EXP(-$E$98*$E$88*BU$160))+($BZ131*EXP(-$E$98*$E$88*BU$160))+($CA131*EXP(-$E$98*$E$88*BU$160))</f>
        <v>54.259345089260584</v>
      </c>
      <c r="BV186" s="293">
        <f t="shared" si="257"/>
        <v>52.428897303277338</v>
      </c>
      <c r="BW186" s="293">
        <f t="shared" si="257"/>
        <v>49.25261985892255</v>
      </c>
      <c r="BX186" s="293">
        <f t="shared" si="257"/>
        <v>46.268554491267409</v>
      </c>
      <c r="BY186" s="293">
        <f t="shared" si="257"/>
        <v>43.465284486595131</v>
      </c>
      <c r="BZ186" s="293">
        <f t="shared" si="257"/>
        <v>40.831856025611387</v>
      </c>
      <c r="CA186" s="293">
        <f t="shared" si="257"/>
        <v>38.357978929378469</v>
      </c>
      <c r="CB186" s="293">
        <f t="shared" si="257"/>
        <v>36.033986469382192</v>
      </c>
      <c r="CC186" s="293">
        <f t="shared" si="257"/>
        <v>33.850797594581671</v>
      </c>
      <c r="CD186" s="293">
        <f t="shared" si="257"/>
        <v>31.799881447005006</v>
      </c>
      <c r="CE186" s="293">
        <f t="shared" si="257"/>
        <v>29.8732240272364</v>
      </c>
      <c r="CF186" s="293">
        <f t="shared" si="257"/>
        <v>15.989984567286378</v>
      </c>
      <c r="CG186" s="293">
        <f t="shared" si="257"/>
        <v>4.5812072802479582</v>
      </c>
      <c r="CH186" s="293">
        <f t="shared" si="257"/>
        <v>1.3125378612018652</v>
      </c>
      <c r="CI186" s="293">
        <f t="shared" si="257"/>
        <v>0.37604839329494877</v>
      </c>
      <c r="CJ186" s="1100">
        <f t="shared" si="257"/>
        <v>0.10773966853057018</v>
      </c>
    </row>
    <row r="187" spans="2:88" ht="18">
      <c r="B187" s="302"/>
      <c r="C187" s="223">
        <f t="shared" si="222"/>
        <v>0</v>
      </c>
      <c r="D187" s="295">
        <f t="shared" si="223"/>
        <v>61.141547999999993</v>
      </c>
      <c r="E187" s="293">
        <f t="shared" ref="E187:T187" si="258">$R132+(($E132-$R132-$I132-$J132-$K132)*EXP(-$E$99*$E$88*E$160))+($I132*EXP(-$E$98*$E$88*E$160))+($J132*EXP(-$E$98*$E$88*E$160))+($K132*EXP(-$E$98*$E$88*E$160))</f>
        <v>62.476160305498937</v>
      </c>
      <c r="F187" s="293">
        <f t="shared" si="258"/>
        <v>60.100376444754623</v>
      </c>
      <c r="G187" s="293">
        <f t="shared" si="258"/>
        <v>56.459288278855958</v>
      </c>
      <c r="H187" s="293">
        <f t="shared" si="258"/>
        <v>53.03859294279976</v>
      </c>
      <c r="I187" s="293">
        <f t="shared" si="258"/>
        <v>49.825147043714018</v>
      </c>
      <c r="J187" s="293">
        <f t="shared" si="258"/>
        <v>46.806393989467182</v>
      </c>
      <c r="K187" s="293">
        <f t="shared" si="258"/>
        <v>43.970537936899632</v>
      </c>
      <c r="L187" s="293">
        <f t="shared" si="258"/>
        <v>41.306497716859013</v>
      </c>
      <c r="M187" s="293">
        <f t="shared" si="258"/>
        <v>38.803863534292368</v>
      </c>
      <c r="N187" s="293">
        <f t="shared" si="258"/>
        <v>36.452856291745739</v>
      </c>
      <c r="O187" s="293">
        <f t="shared" si="258"/>
        <v>34.24428937732835</v>
      </c>
      <c r="P187" s="293">
        <f t="shared" si="258"/>
        <v>18.329647250726453</v>
      </c>
      <c r="Q187" s="293">
        <f t="shared" si="258"/>
        <v>5.2515318620883251</v>
      </c>
      <c r="R187" s="293">
        <f t="shared" si="258"/>
        <v>1.5045890693524313</v>
      </c>
      <c r="S187" s="293">
        <f t="shared" si="258"/>
        <v>0.4310719856728808</v>
      </c>
      <c r="T187" s="293">
        <f t="shared" si="258"/>
        <v>0.1235041916873275</v>
      </c>
      <c r="U187" s="1091">
        <f t="shared" si="225"/>
        <v>61.141547999999993</v>
      </c>
      <c r="V187" s="293">
        <f t="shared" ref="V187:AK187" si="259">$AI132+(($V132-$AI132-$Z132-$AA132-$AB132)*EXP(-$E$99*$E$88*V$160))+($Z132*EXP(-$E$98*$E$88*V$160))+($AA132*EXP(-$E$98*$E$88*V$160))+($AB132*EXP(-$E$98*$E$88*V$160))</f>
        <v>62.956515787710607</v>
      </c>
      <c r="W187" s="293">
        <f t="shared" si="259"/>
        <v>60.84607456517152</v>
      </c>
      <c r="X187" s="293">
        <f t="shared" si="259"/>
        <v>57.159865512751978</v>
      </c>
      <c r="Y187" s="293">
        <f t="shared" si="259"/>
        <v>53.696724352448811</v>
      </c>
      <c r="Z187" s="293">
        <f t="shared" si="259"/>
        <v>50.443404286986542</v>
      </c>
      <c r="AA187" s="293">
        <f t="shared" si="259"/>
        <v>47.387192919976442</v>
      </c>
      <c r="AB187" s="293">
        <f t="shared" si="259"/>
        <v>44.516148039088129</v>
      </c>
      <c r="AC187" s="293">
        <f t="shared" si="259"/>
        <v>41.81905097405788</v>
      </c>
      <c r="AD187" s="293">
        <f t="shared" si="259"/>
        <v>39.285362759492578</v>
      </c>
      <c r="AE187" s="293">
        <f t="shared" si="259"/>
        <v>36.905182953633386</v>
      </c>
      <c r="AF187" s="293">
        <f t="shared" si="259"/>
        <v>34.66921095216442</v>
      </c>
      <c r="AG187" s="293">
        <f t="shared" si="259"/>
        <v>18.557091379881747</v>
      </c>
      <c r="AH187" s="293">
        <f t="shared" si="259"/>
        <v>5.3166956961090053</v>
      </c>
      <c r="AI187" s="293">
        <f t="shared" si="259"/>
        <v>1.5232588203811572</v>
      </c>
      <c r="AJ187" s="293">
        <f t="shared" si="259"/>
        <v>0.43642095889879629</v>
      </c>
      <c r="AK187" s="293">
        <f t="shared" si="259"/>
        <v>0.12503669817482901</v>
      </c>
      <c r="AL187" s="1091">
        <f t="shared" si="227"/>
        <v>60.656366999999996</v>
      </c>
      <c r="AM187" s="293">
        <f t="shared" ref="AM187:BB187" si="260">$AZ132+(($AM132-$AZ132-$AQ132-$AR132-$AS132)*EXP(-$E$99*$E$88*AM$160))+($AQ132*EXP(-$E$98*$E$88*AM$160))+($AR132*EXP(-$E$98*$E$88*AM$160))+($AS132*EXP(-$E$98*$E$88*AM$160))</f>
        <v>62.547702566192342</v>
      </c>
      <c r="AN187" s="293">
        <f t="shared" si="260"/>
        <v>60.504148871912967</v>
      </c>
      <c r="AO187" s="293">
        <f t="shared" si="260"/>
        <v>56.83866500956173</v>
      </c>
      <c r="AP187" s="293">
        <f t="shared" si="260"/>
        <v>53.394984404674652</v>
      </c>
      <c r="AQ187" s="293">
        <f t="shared" si="260"/>
        <v>50.159945838474904</v>
      </c>
      <c r="AR187" s="293">
        <f t="shared" si="260"/>
        <v>47.12090835067977</v>
      </c>
      <c r="AS187" s="293">
        <f t="shared" si="260"/>
        <v>44.265996836265174</v>
      </c>
      <c r="AT187" s="293">
        <f t="shared" si="260"/>
        <v>41.58405566644749</v>
      </c>
      <c r="AU187" s="293">
        <f t="shared" si="260"/>
        <v>39.06460509782351</v>
      </c>
      <c r="AV187" s="293">
        <f t="shared" si="260"/>
        <v>36.697800322545305</v>
      </c>
      <c r="AW187" s="293">
        <f t="shared" si="260"/>
        <v>34.474392999519644</v>
      </c>
      <c r="AX187" s="293">
        <f t="shared" si="260"/>
        <v>18.452812844247962</v>
      </c>
      <c r="AY187" s="293">
        <f t="shared" si="260"/>
        <v>5.2868193954403688</v>
      </c>
      <c r="AZ187" s="293">
        <f t="shared" si="260"/>
        <v>1.5146991169271558</v>
      </c>
      <c r="BA187" s="293">
        <f t="shared" si="260"/>
        <v>0.43396856279952412</v>
      </c>
      <c r="BB187" s="293">
        <f t="shared" si="260"/>
        <v>0.12433407492858632</v>
      </c>
      <c r="BC187" s="1091">
        <f t="shared" si="229"/>
        <v>58.492722000000008</v>
      </c>
      <c r="BD187" s="293">
        <f t="shared" ref="BD187:BS187" si="261">$BQ132+(($BD132-$BQ132-$BH132-$BI132-$BJ132)*EXP(-$E$99*$E$88*BD$160))+($BH132*EXP(-$E$98*$E$88*BD$160))+($BI132*EXP(-$E$98*$E$88*BD$160))+($BJ132*EXP(-$E$98*$E$88*BD$160))</f>
        <v>60.272826415226412</v>
      </c>
      <c r="BE187" s="293">
        <f t="shared" si="261"/>
        <v>58.277991444872725</v>
      </c>
      <c r="BF187" s="293">
        <f t="shared" si="261"/>
        <v>54.747368408338367</v>
      </c>
      <c r="BG187" s="293">
        <f t="shared" si="261"/>
        <v>51.430393058069214</v>
      </c>
      <c r="BH187" s="293">
        <f t="shared" si="261"/>
        <v>48.31438306438335</v>
      </c>
      <c r="BI187" s="293">
        <f t="shared" si="261"/>
        <v>45.387162572455885</v>
      </c>
      <c r="BJ187" s="293">
        <f t="shared" si="261"/>
        <v>42.637293404603938</v>
      </c>
      <c r="BK187" s="293">
        <f t="shared" si="261"/>
        <v>40.054030387295796</v>
      </c>
      <c r="BL187" s="293">
        <f t="shared" si="261"/>
        <v>37.627279364153573</v>
      </c>
      <c r="BM187" s="293">
        <f t="shared" si="261"/>
        <v>35.347557752817799</v>
      </c>
      <c r="BN187" s="293">
        <f t="shared" si="261"/>
        <v>33.205957491550791</v>
      </c>
      <c r="BO187" s="293">
        <f t="shared" si="261"/>
        <v>17.773868242268342</v>
      </c>
      <c r="BP187" s="293">
        <f t="shared" si="261"/>
        <v>5.0922985101708758</v>
      </c>
      <c r="BQ187" s="293">
        <f t="shared" si="261"/>
        <v>1.4589679502079553</v>
      </c>
      <c r="BR187" s="293">
        <f t="shared" si="261"/>
        <v>0.4180013161998582</v>
      </c>
      <c r="BS187" s="293">
        <f t="shared" si="261"/>
        <v>0.11975938218513246</v>
      </c>
      <c r="BT187" s="1091">
        <f t="shared" si="231"/>
        <v>52.714260000000003</v>
      </c>
      <c r="BU187" s="293">
        <f t="shared" ref="BU187:CJ187" si="262">$CH132+(($BU132-$CH132-$BY132-$BZ132-$CA132)*EXP(-$E$99*$E$88*BU$160))+($BY132*EXP(-$E$98*$E$88*BU$160))+($BZ132*EXP(-$E$98*$E$88*BU$160))+($CA132*EXP(-$E$98*$E$88*BU$160))</f>
        <v>54.259345089260584</v>
      </c>
      <c r="BV187" s="293">
        <f t="shared" si="262"/>
        <v>52.428897303277338</v>
      </c>
      <c r="BW187" s="293">
        <f t="shared" si="262"/>
        <v>49.25261985892255</v>
      </c>
      <c r="BX187" s="293">
        <f t="shared" si="262"/>
        <v>46.268554491267409</v>
      </c>
      <c r="BY187" s="293">
        <f t="shared" si="262"/>
        <v>43.465284486595131</v>
      </c>
      <c r="BZ187" s="293">
        <f t="shared" si="262"/>
        <v>40.831856025611387</v>
      </c>
      <c r="CA187" s="293">
        <f t="shared" si="262"/>
        <v>38.357978929378469</v>
      </c>
      <c r="CB187" s="293">
        <f t="shared" si="262"/>
        <v>36.033986469382192</v>
      </c>
      <c r="CC187" s="293">
        <f t="shared" si="262"/>
        <v>33.850797594581671</v>
      </c>
      <c r="CD187" s="293">
        <f t="shared" si="262"/>
        <v>31.799881447005006</v>
      </c>
      <c r="CE187" s="293">
        <f t="shared" si="262"/>
        <v>29.8732240272364</v>
      </c>
      <c r="CF187" s="293">
        <f t="shared" si="262"/>
        <v>15.989984567286378</v>
      </c>
      <c r="CG187" s="293">
        <f t="shared" si="262"/>
        <v>4.5812072802479582</v>
      </c>
      <c r="CH187" s="293">
        <f t="shared" si="262"/>
        <v>1.3125378612018652</v>
      </c>
      <c r="CI187" s="293">
        <f t="shared" si="262"/>
        <v>0.37604839329494877</v>
      </c>
      <c r="CJ187" s="1100">
        <f t="shared" si="262"/>
        <v>0.10773966853057018</v>
      </c>
    </row>
    <row r="188" spans="2:88" ht="18">
      <c r="B188" s="302"/>
      <c r="C188" s="223">
        <f t="shared" si="222"/>
        <v>0</v>
      </c>
      <c r="D188" s="295">
        <f t="shared" si="223"/>
        <v>61.141547999999993</v>
      </c>
      <c r="E188" s="293">
        <f t="shared" ref="E188:T188" si="263">$R133+(($E133-$R133-$I133-$J133-$K133)*EXP(-$E$99*$E$88*E$160))+($I133*EXP(-$E$98*$E$88*E$160))+($J133*EXP(-$E$98*$E$88*E$160))+($K133*EXP(-$E$98*$E$88*E$160))</f>
        <v>62.476160305498937</v>
      </c>
      <c r="F188" s="293">
        <f t="shared" si="263"/>
        <v>60.100376444754623</v>
      </c>
      <c r="G188" s="293">
        <f t="shared" si="263"/>
        <v>56.459288278855958</v>
      </c>
      <c r="H188" s="293">
        <f t="shared" si="263"/>
        <v>53.03859294279976</v>
      </c>
      <c r="I188" s="293">
        <f t="shared" si="263"/>
        <v>49.825147043714018</v>
      </c>
      <c r="J188" s="293">
        <f t="shared" si="263"/>
        <v>46.806393989467182</v>
      </c>
      <c r="K188" s="293">
        <f t="shared" si="263"/>
        <v>43.970537936899632</v>
      </c>
      <c r="L188" s="293">
        <f t="shared" si="263"/>
        <v>41.306497716859013</v>
      </c>
      <c r="M188" s="293">
        <f t="shared" si="263"/>
        <v>38.803863534292368</v>
      </c>
      <c r="N188" s="293">
        <f t="shared" si="263"/>
        <v>36.452856291745739</v>
      </c>
      <c r="O188" s="293">
        <f t="shared" si="263"/>
        <v>34.24428937732835</v>
      </c>
      <c r="P188" s="293">
        <f t="shared" si="263"/>
        <v>18.329647250726453</v>
      </c>
      <c r="Q188" s="293">
        <f t="shared" si="263"/>
        <v>5.2515318620883251</v>
      </c>
      <c r="R188" s="293">
        <f t="shared" si="263"/>
        <v>1.5045890693524313</v>
      </c>
      <c r="S188" s="293">
        <f t="shared" si="263"/>
        <v>0.4310719856728808</v>
      </c>
      <c r="T188" s="293">
        <f t="shared" si="263"/>
        <v>0.1235041916873275</v>
      </c>
      <c r="U188" s="1091">
        <f t="shared" si="225"/>
        <v>61.141547999999993</v>
      </c>
      <c r="V188" s="293">
        <f t="shared" ref="V188:AK188" si="264">$AI133+(($V133-$AI133-$Z133-$AA133-$AB133)*EXP(-$E$99*$E$88*V$160))+($Z133*EXP(-$E$98*$E$88*V$160))+($AA133*EXP(-$E$98*$E$88*V$160))+($AB133*EXP(-$E$98*$E$88*V$160))</f>
        <v>62.956515787710607</v>
      </c>
      <c r="W188" s="293">
        <f t="shared" si="264"/>
        <v>60.84607456517152</v>
      </c>
      <c r="X188" s="293">
        <f t="shared" si="264"/>
        <v>57.159865512751978</v>
      </c>
      <c r="Y188" s="293">
        <f t="shared" si="264"/>
        <v>53.696724352448811</v>
      </c>
      <c r="Z188" s="293">
        <f t="shared" si="264"/>
        <v>50.443404286986542</v>
      </c>
      <c r="AA188" s="293">
        <f t="shared" si="264"/>
        <v>47.387192919976442</v>
      </c>
      <c r="AB188" s="293">
        <f t="shared" si="264"/>
        <v>44.516148039088129</v>
      </c>
      <c r="AC188" s="293">
        <f t="shared" si="264"/>
        <v>41.81905097405788</v>
      </c>
      <c r="AD188" s="293">
        <f t="shared" si="264"/>
        <v>39.285362759492578</v>
      </c>
      <c r="AE188" s="293">
        <f t="shared" si="264"/>
        <v>36.905182953633386</v>
      </c>
      <c r="AF188" s="293">
        <f t="shared" si="264"/>
        <v>34.66921095216442</v>
      </c>
      <c r="AG188" s="293">
        <f t="shared" si="264"/>
        <v>18.557091379881747</v>
      </c>
      <c r="AH188" s="293">
        <f t="shared" si="264"/>
        <v>5.3166956961090053</v>
      </c>
      <c r="AI188" s="293">
        <f t="shared" si="264"/>
        <v>1.5232588203811572</v>
      </c>
      <c r="AJ188" s="293">
        <f t="shared" si="264"/>
        <v>0.43642095889879629</v>
      </c>
      <c r="AK188" s="293">
        <f t="shared" si="264"/>
        <v>0.12503669817482901</v>
      </c>
      <c r="AL188" s="1091">
        <f t="shared" si="227"/>
        <v>60.656366999999996</v>
      </c>
      <c r="AM188" s="293">
        <f t="shared" ref="AM188:BB188" si="265">$AZ133+(($AM133-$AZ133-$AQ133-$AR133-$AS133)*EXP(-$E$99*$E$88*AM$160))+($AQ133*EXP(-$E$98*$E$88*AM$160))+($AR133*EXP(-$E$98*$E$88*AM$160))+($AS133*EXP(-$E$98*$E$88*AM$160))</f>
        <v>62.547702566192342</v>
      </c>
      <c r="AN188" s="293">
        <f t="shared" si="265"/>
        <v>60.504148871912967</v>
      </c>
      <c r="AO188" s="293">
        <f t="shared" si="265"/>
        <v>56.83866500956173</v>
      </c>
      <c r="AP188" s="293">
        <f t="shared" si="265"/>
        <v>53.394984404674652</v>
      </c>
      <c r="AQ188" s="293">
        <f t="shared" si="265"/>
        <v>50.159945838474904</v>
      </c>
      <c r="AR188" s="293">
        <f t="shared" si="265"/>
        <v>47.12090835067977</v>
      </c>
      <c r="AS188" s="293">
        <f t="shared" si="265"/>
        <v>44.265996836265174</v>
      </c>
      <c r="AT188" s="293">
        <f t="shared" si="265"/>
        <v>41.58405566644749</v>
      </c>
      <c r="AU188" s="293">
        <f t="shared" si="265"/>
        <v>39.06460509782351</v>
      </c>
      <c r="AV188" s="293">
        <f t="shared" si="265"/>
        <v>36.697800322545305</v>
      </c>
      <c r="AW188" s="293">
        <f t="shared" si="265"/>
        <v>34.474392999519644</v>
      </c>
      <c r="AX188" s="293">
        <f t="shared" si="265"/>
        <v>18.452812844247962</v>
      </c>
      <c r="AY188" s="293">
        <f t="shared" si="265"/>
        <v>5.2868193954403688</v>
      </c>
      <c r="AZ188" s="293">
        <f t="shared" si="265"/>
        <v>1.5146991169271558</v>
      </c>
      <c r="BA188" s="293">
        <f t="shared" si="265"/>
        <v>0.43396856279952412</v>
      </c>
      <c r="BB188" s="293">
        <f t="shared" si="265"/>
        <v>0.12433407492858632</v>
      </c>
      <c r="BC188" s="1091">
        <f t="shared" si="229"/>
        <v>58.492722000000008</v>
      </c>
      <c r="BD188" s="293">
        <f t="shared" ref="BD188:BS188" si="266">$BQ133+(($BD133-$BQ133-$BH133-$BI133-$BJ133)*EXP(-$E$99*$E$88*BD$160))+($BH133*EXP(-$E$98*$E$88*BD$160))+($BI133*EXP(-$E$98*$E$88*BD$160))+($BJ133*EXP(-$E$98*$E$88*BD$160))</f>
        <v>60.272826415226412</v>
      </c>
      <c r="BE188" s="293">
        <f t="shared" si="266"/>
        <v>58.277991444872725</v>
      </c>
      <c r="BF188" s="293">
        <f t="shared" si="266"/>
        <v>54.747368408338367</v>
      </c>
      <c r="BG188" s="293">
        <f t="shared" si="266"/>
        <v>51.430393058069214</v>
      </c>
      <c r="BH188" s="293">
        <f t="shared" si="266"/>
        <v>48.31438306438335</v>
      </c>
      <c r="BI188" s="293">
        <f t="shared" si="266"/>
        <v>45.387162572455885</v>
      </c>
      <c r="BJ188" s="293">
        <f t="shared" si="266"/>
        <v>42.637293404603938</v>
      </c>
      <c r="BK188" s="293">
        <f t="shared" si="266"/>
        <v>40.054030387295796</v>
      </c>
      <c r="BL188" s="293">
        <f t="shared" si="266"/>
        <v>37.627279364153573</v>
      </c>
      <c r="BM188" s="293">
        <f t="shared" si="266"/>
        <v>35.347557752817799</v>
      </c>
      <c r="BN188" s="293">
        <f t="shared" si="266"/>
        <v>33.205957491550791</v>
      </c>
      <c r="BO188" s="293">
        <f t="shared" si="266"/>
        <v>17.773868242268342</v>
      </c>
      <c r="BP188" s="293">
        <f t="shared" si="266"/>
        <v>5.0922985101708758</v>
      </c>
      <c r="BQ188" s="293">
        <f t="shared" si="266"/>
        <v>1.4589679502079553</v>
      </c>
      <c r="BR188" s="293">
        <f t="shared" si="266"/>
        <v>0.4180013161998582</v>
      </c>
      <c r="BS188" s="293">
        <f t="shared" si="266"/>
        <v>0.11975938218513246</v>
      </c>
      <c r="BT188" s="1091">
        <f t="shared" si="231"/>
        <v>52.714260000000003</v>
      </c>
      <c r="BU188" s="293">
        <f t="shared" ref="BU188:CJ188" si="267">$CH133+(($BU133-$CH133-$BY133-$BZ133-$CA133)*EXP(-$E$99*$E$88*BU$160))+($BY133*EXP(-$E$98*$E$88*BU$160))+($BZ133*EXP(-$E$98*$E$88*BU$160))+($CA133*EXP(-$E$98*$E$88*BU$160))</f>
        <v>54.259345089260584</v>
      </c>
      <c r="BV188" s="293">
        <f t="shared" si="267"/>
        <v>52.428897303277338</v>
      </c>
      <c r="BW188" s="293">
        <f t="shared" si="267"/>
        <v>49.25261985892255</v>
      </c>
      <c r="BX188" s="293">
        <f t="shared" si="267"/>
        <v>46.268554491267409</v>
      </c>
      <c r="BY188" s="293">
        <f t="shared" si="267"/>
        <v>43.465284486595131</v>
      </c>
      <c r="BZ188" s="293">
        <f t="shared" si="267"/>
        <v>40.831856025611387</v>
      </c>
      <c r="CA188" s="293">
        <f t="shared" si="267"/>
        <v>38.357978929378469</v>
      </c>
      <c r="CB188" s="293">
        <f t="shared" si="267"/>
        <v>36.033986469382192</v>
      </c>
      <c r="CC188" s="293">
        <f t="shared" si="267"/>
        <v>33.850797594581671</v>
      </c>
      <c r="CD188" s="293">
        <f t="shared" si="267"/>
        <v>31.799881447005006</v>
      </c>
      <c r="CE188" s="293">
        <f t="shared" si="267"/>
        <v>29.8732240272364</v>
      </c>
      <c r="CF188" s="293">
        <f t="shared" si="267"/>
        <v>15.989984567286378</v>
      </c>
      <c r="CG188" s="293">
        <f t="shared" si="267"/>
        <v>4.5812072802479582</v>
      </c>
      <c r="CH188" s="293">
        <f t="shared" si="267"/>
        <v>1.3125378612018652</v>
      </c>
      <c r="CI188" s="293">
        <f t="shared" si="267"/>
        <v>0.37604839329494877</v>
      </c>
      <c r="CJ188" s="1100">
        <f t="shared" si="267"/>
        <v>0.10773966853057018</v>
      </c>
    </row>
    <row r="189" spans="2:88" ht="17.5">
      <c r="B189" s="223"/>
      <c r="C189" s="223">
        <f t="shared" si="222"/>
        <v>0</v>
      </c>
      <c r="D189" s="295">
        <f t="shared" si="223"/>
        <v>61.141547999999993</v>
      </c>
      <c r="E189" s="293">
        <f t="shared" ref="E189:T189" si="268">$R134+(($E134-$R134-$I134-$J134-$K134)*EXP(-$E$99*$E$88*E$160))+($I134*EXP(-$E$98*$E$88*E$160))+($J134*EXP(-$E$98*$E$88*E$160))+($K134*EXP(-$E$98*$E$88*E$160))</f>
        <v>62.476160305498937</v>
      </c>
      <c r="F189" s="293">
        <f t="shared" si="268"/>
        <v>60.100376444754623</v>
      </c>
      <c r="G189" s="293">
        <f t="shared" si="268"/>
        <v>56.459288278855958</v>
      </c>
      <c r="H189" s="293">
        <f t="shared" si="268"/>
        <v>53.03859294279976</v>
      </c>
      <c r="I189" s="293">
        <f t="shared" si="268"/>
        <v>49.825147043714018</v>
      </c>
      <c r="J189" s="293">
        <f t="shared" si="268"/>
        <v>46.806393989467182</v>
      </c>
      <c r="K189" s="293">
        <f t="shared" si="268"/>
        <v>43.970537936899632</v>
      </c>
      <c r="L189" s="293">
        <f t="shared" si="268"/>
        <v>41.306497716859013</v>
      </c>
      <c r="M189" s="293">
        <f t="shared" si="268"/>
        <v>38.803863534292368</v>
      </c>
      <c r="N189" s="293">
        <f t="shared" si="268"/>
        <v>36.452856291745739</v>
      </c>
      <c r="O189" s="293">
        <f t="shared" si="268"/>
        <v>34.24428937732835</v>
      </c>
      <c r="P189" s="293">
        <f t="shared" si="268"/>
        <v>18.329647250726453</v>
      </c>
      <c r="Q189" s="293">
        <f t="shared" si="268"/>
        <v>5.2515318620883251</v>
      </c>
      <c r="R189" s="293">
        <f t="shared" si="268"/>
        <v>1.5045890693524313</v>
      </c>
      <c r="S189" s="293">
        <f t="shared" si="268"/>
        <v>0.4310719856728808</v>
      </c>
      <c r="T189" s="293">
        <f t="shared" si="268"/>
        <v>0.1235041916873275</v>
      </c>
      <c r="U189" s="1091">
        <f t="shared" si="225"/>
        <v>61.141547999999993</v>
      </c>
      <c r="V189" s="293">
        <f t="shared" ref="V189:AK189" si="269">$AI134+(($V134-$AI134-$Z134-$AA134-$AB134)*EXP(-$E$99*$E$88*V$160))+($Z134*EXP(-$E$98*$E$88*V$160))+($AA134*EXP(-$E$98*$E$88*V$160))+($AB134*EXP(-$E$98*$E$88*V$160))</f>
        <v>62.956515787710607</v>
      </c>
      <c r="W189" s="293">
        <f t="shared" si="269"/>
        <v>60.84607456517152</v>
      </c>
      <c r="X189" s="293">
        <f t="shared" si="269"/>
        <v>57.159865512751978</v>
      </c>
      <c r="Y189" s="293">
        <f t="shared" si="269"/>
        <v>53.696724352448811</v>
      </c>
      <c r="Z189" s="293">
        <f t="shared" si="269"/>
        <v>50.443404286986542</v>
      </c>
      <c r="AA189" s="293">
        <f t="shared" si="269"/>
        <v>47.387192919976442</v>
      </c>
      <c r="AB189" s="293">
        <f t="shared" si="269"/>
        <v>44.516148039088129</v>
      </c>
      <c r="AC189" s="293">
        <f t="shared" si="269"/>
        <v>41.81905097405788</v>
      </c>
      <c r="AD189" s="293">
        <f t="shared" si="269"/>
        <v>39.285362759492578</v>
      </c>
      <c r="AE189" s="293">
        <f t="shared" si="269"/>
        <v>36.905182953633386</v>
      </c>
      <c r="AF189" s="293">
        <f t="shared" si="269"/>
        <v>34.66921095216442</v>
      </c>
      <c r="AG189" s="293">
        <f t="shared" si="269"/>
        <v>18.557091379881747</v>
      </c>
      <c r="AH189" s="293">
        <f t="shared" si="269"/>
        <v>5.3166956961090053</v>
      </c>
      <c r="AI189" s="293">
        <f t="shared" si="269"/>
        <v>1.5232588203811572</v>
      </c>
      <c r="AJ189" s="293">
        <f t="shared" si="269"/>
        <v>0.43642095889879629</v>
      </c>
      <c r="AK189" s="293">
        <f t="shared" si="269"/>
        <v>0.12503669817482901</v>
      </c>
      <c r="AL189" s="1091">
        <f t="shared" si="227"/>
        <v>60.656366999999996</v>
      </c>
      <c r="AM189" s="293">
        <f t="shared" ref="AM189:BB189" si="270">$AZ134+(($AM134-$AZ134-$AQ134-$AR134-$AS134)*EXP(-$E$99*$E$88*AM$160))+($AQ134*EXP(-$E$98*$E$88*AM$160))+($AR134*EXP(-$E$98*$E$88*AM$160))+($AS134*EXP(-$E$98*$E$88*AM$160))</f>
        <v>62.547702566192342</v>
      </c>
      <c r="AN189" s="293">
        <f t="shared" si="270"/>
        <v>60.504148871912967</v>
      </c>
      <c r="AO189" s="293">
        <f t="shared" si="270"/>
        <v>56.83866500956173</v>
      </c>
      <c r="AP189" s="293">
        <f t="shared" si="270"/>
        <v>53.394984404674652</v>
      </c>
      <c r="AQ189" s="293">
        <f t="shared" si="270"/>
        <v>50.159945838474904</v>
      </c>
      <c r="AR189" s="293">
        <f t="shared" si="270"/>
        <v>47.12090835067977</v>
      </c>
      <c r="AS189" s="293">
        <f t="shared" si="270"/>
        <v>44.265996836265174</v>
      </c>
      <c r="AT189" s="293">
        <f t="shared" si="270"/>
        <v>41.58405566644749</v>
      </c>
      <c r="AU189" s="293">
        <f t="shared" si="270"/>
        <v>39.06460509782351</v>
      </c>
      <c r="AV189" s="293">
        <f t="shared" si="270"/>
        <v>36.697800322545305</v>
      </c>
      <c r="AW189" s="293">
        <f t="shared" si="270"/>
        <v>34.474392999519644</v>
      </c>
      <c r="AX189" s="293">
        <f t="shared" si="270"/>
        <v>18.452812844247962</v>
      </c>
      <c r="AY189" s="293">
        <f t="shared" si="270"/>
        <v>5.2868193954403688</v>
      </c>
      <c r="AZ189" s="293">
        <f t="shared" si="270"/>
        <v>1.5146991169271558</v>
      </c>
      <c r="BA189" s="293">
        <f t="shared" si="270"/>
        <v>0.43396856279952412</v>
      </c>
      <c r="BB189" s="293">
        <f t="shared" si="270"/>
        <v>0.12433407492858632</v>
      </c>
      <c r="BC189" s="1091">
        <f t="shared" si="229"/>
        <v>58.492722000000008</v>
      </c>
      <c r="BD189" s="293">
        <f t="shared" ref="BD189:BS189" si="271">$BQ134+(($BD134-$BQ134-$BH134-$BI134-$BJ134)*EXP(-$E$99*$E$88*BD$160))+($BH134*EXP(-$E$98*$E$88*BD$160))+($BI134*EXP(-$E$98*$E$88*BD$160))+($BJ134*EXP(-$E$98*$E$88*BD$160))</f>
        <v>60.272826415226412</v>
      </c>
      <c r="BE189" s="293">
        <f t="shared" si="271"/>
        <v>58.277991444872725</v>
      </c>
      <c r="BF189" s="293">
        <f t="shared" si="271"/>
        <v>54.747368408338367</v>
      </c>
      <c r="BG189" s="293">
        <f t="shared" si="271"/>
        <v>51.430393058069214</v>
      </c>
      <c r="BH189" s="293">
        <f t="shared" si="271"/>
        <v>48.31438306438335</v>
      </c>
      <c r="BI189" s="293">
        <f t="shared" si="271"/>
        <v>45.387162572455885</v>
      </c>
      <c r="BJ189" s="293">
        <f t="shared" si="271"/>
        <v>42.637293404603938</v>
      </c>
      <c r="BK189" s="293">
        <f t="shared" si="271"/>
        <v>40.054030387295796</v>
      </c>
      <c r="BL189" s="293">
        <f t="shared" si="271"/>
        <v>37.627279364153573</v>
      </c>
      <c r="BM189" s="293">
        <f t="shared" si="271"/>
        <v>35.347557752817799</v>
      </c>
      <c r="BN189" s="293">
        <f t="shared" si="271"/>
        <v>33.205957491550791</v>
      </c>
      <c r="BO189" s="293">
        <f t="shared" si="271"/>
        <v>17.773868242268342</v>
      </c>
      <c r="BP189" s="293">
        <f t="shared" si="271"/>
        <v>5.0922985101708758</v>
      </c>
      <c r="BQ189" s="293">
        <f t="shared" si="271"/>
        <v>1.4589679502079553</v>
      </c>
      <c r="BR189" s="293">
        <f t="shared" si="271"/>
        <v>0.4180013161998582</v>
      </c>
      <c r="BS189" s="293">
        <f t="shared" si="271"/>
        <v>0.11975938218513246</v>
      </c>
      <c r="BT189" s="1091">
        <f t="shared" si="231"/>
        <v>52.714260000000003</v>
      </c>
      <c r="BU189" s="293">
        <f t="shared" ref="BU189:CJ189" si="272">$CH134+(($BU134-$CH134-$BY134-$BZ134-$CA134)*EXP(-$E$99*$E$88*BU$160))+($BY134*EXP(-$E$98*$E$88*BU$160))+($BZ134*EXP(-$E$98*$E$88*BU$160))+($CA134*EXP(-$E$98*$E$88*BU$160))</f>
        <v>54.259345089260584</v>
      </c>
      <c r="BV189" s="293">
        <f t="shared" si="272"/>
        <v>52.428897303277338</v>
      </c>
      <c r="BW189" s="293">
        <f t="shared" si="272"/>
        <v>49.25261985892255</v>
      </c>
      <c r="BX189" s="293">
        <f t="shared" si="272"/>
        <v>46.268554491267409</v>
      </c>
      <c r="BY189" s="293">
        <f t="shared" si="272"/>
        <v>43.465284486595131</v>
      </c>
      <c r="BZ189" s="293">
        <f t="shared" si="272"/>
        <v>40.831856025611387</v>
      </c>
      <c r="CA189" s="293">
        <f t="shared" si="272"/>
        <v>38.357978929378469</v>
      </c>
      <c r="CB189" s="293">
        <f t="shared" si="272"/>
        <v>36.033986469382192</v>
      </c>
      <c r="CC189" s="293">
        <f t="shared" si="272"/>
        <v>33.850797594581671</v>
      </c>
      <c r="CD189" s="293">
        <f t="shared" si="272"/>
        <v>31.799881447005006</v>
      </c>
      <c r="CE189" s="293">
        <f t="shared" si="272"/>
        <v>29.8732240272364</v>
      </c>
      <c r="CF189" s="293">
        <f t="shared" si="272"/>
        <v>15.989984567286378</v>
      </c>
      <c r="CG189" s="293">
        <f t="shared" si="272"/>
        <v>4.5812072802479582</v>
      </c>
      <c r="CH189" s="293">
        <f t="shared" si="272"/>
        <v>1.3125378612018652</v>
      </c>
      <c r="CI189" s="293">
        <f t="shared" si="272"/>
        <v>0.37604839329494877</v>
      </c>
      <c r="CJ189" s="1100">
        <f t="shared" si="272"/>
        <v>0.10773966853057018</v>
      </c>
    </row>
    <row r="190" spans="2:88" ht="17.5">
      <c r="B190" s="223"/>
      <c r="C190" s="223">
        <f t="shared" si="222"/>
        <v>0</v>
      </c>
      <c r="D190" s="295">
        <f t="shared" si="223"/>
        <v>61.141547999999993</v>
      </c>
      <c r="E190" s="293">
        <f t="shared" ref="E190:T190" si="273">$R135+(($E135-$R135-$I135-$J135-$K135)*EXP(-$E$99*$E$88*E$160))+($I135*EXP(-$E$98*$E$88*E$160))+($J135*EXP(-$E$98*$E$88*E$160))+($K135*EXP(-$E$98*$E$88*E$160))</f>
        <v>62.476160305498937</v>
      </c>
      <c r="F190" s="293">
        <f t="shared" si="273"/>
        <v>60.100376444754623</v>
      </c>
      <c r="G190" s="293">
        <f t="shared" si="273"/>
        <v>56.459288278855958</v>
      </c>
      <c r="H190" s="293">
        <f t="shared" si="273"/>
        <v>53.03859294279976</v>
      </c>
      <c r="I190" s="293">
        <f t="shared" si="273"/>
        <v>49.825147043714018</v>
      </c>
      <c r="J190" s="293">
        <f t="shared" si="273"/>
        <v>46.806393989467182</v>
      </c>
      <c r="K190" s="293">
        <f t="shared" si="273"/>
        <v>43.970537936899632</v>
      </c>
      <c r="L190" s="293">
        <f t="shared" si="273"/>
        <v>41.306497716859013</v>
      </c>
      <c r="M190" s="293">
        <f t="shared" si="273"/>
        <v>38.803863534292368</v>
      </c>
      <c r="N190" s="293">
        <f t="shared" si="273"/>
        <v>36.452856291745739</v>
      </c>
      <c r="O190" s="293">
        <f t="shared" si="273"/>
        <v>34.24428937732835</v>
      </c>
      <c r="P190" s="293">
        <f t="shared" si="273"/>
        <v>18.329647250726453</v>
      </c>
      <c r="Q190" s="293">
        <f t="shared" si="273"/>
        <v>5.2515318620883251</v>
      </c>
      <c r="R190" s="293">
        <f t="shared" si="273"/>
        <v>1.5045890693524313</v>
      </c>
      <c r="S190" s="293">
        <f t="shared" si="273"/>
        <v>0.4310719856728808</v>
      </c>
      <c r="T190" s="293">
        <f t="shared" si="273"/>
        <v>0.1235041916873275</v>
      </c>
      <c r="U190" s="1091">
        <f t="shared" si="225"/>
        <v>61.141547999999993</v>
      </c>
      <c r="V190" s="293">
        <f t="shared" ref="V190:AK190" si="274">$AI135+(($V135-$AI135-$Z135-$AA135-$AB135)*EXP(-$E$99*$E$88*V$160))+($Z135*EXP(-$E$98*$E$88*V$160))+($AA135*EXP(-$E$98*$E$88*V$160))+($AB135*EXP(-$E$98*$E$88*V$160))</f>
        <v>62.956515787710607</v>
      </c>
      <c r="W190" s="293">
        <f t="shared" si="274"/>
        <v>60.84607456517152</v>
      </c>
      <c r="X190" s="293">
        <f t="shared" si="274"/>
        <v>57.159865512751978</v>
      </c>
      <c r="Y190" s="293">
        <f t="shared" si="274"/>
        <v>53.696724352448811</v>
      </c>
      <c r="Z190" s="293">
        <f t="shared" si="274"/>
        <v>50.443404286986542</v>
      </c>
      <c r="AA190" s="293">
        <f t="shared" si="274"/>
        <v>47.387192919976442</v>
      </c>
      <c r="AB190" s="293">
        <f t="shared" si="274"/>
        <v>44.516148039088129</v>
      </c>
      <c r="AC190" s="293">
        <f t="shared" si="274"/>
        <v>41.81905097405788</v>
      </c>
      <c r="AD190" s="293">
        <f t="shared" si="274"/>
        <v>39.285362759492578</v>
      </c>
      <c r="AE190" s="293">
        <f t="shared" si="274"/>
        <v>36.905182953633386</v>
      </c>
      <c r="AF190" s="293">
        <f t="shared" si="274"/>
        <v>34.66921095216442</v>
      </c>
      <c r="AG190" s="293">
        <f t="shared" si="274"/>
        <v>18.557091379881747</v>
      </c>
      <c r="AH190" s="293">
        <f t="shared" si="274"/>
        <v>5.3166956961090053</v>
      </c>
      <c r="AI190" s="293">
        <f t="shared" si="274"/>
        <v>1.5232588203811572</v>
      </c>
      <c r="AJ190" s="293">
        <f t="shared" si="274"/>
        <v>0.43642095889879629</v>
      </c>
      <c r="AK190" s="293">
        <f t="shared" si="274"/>
        <v>0.12503669817482901</v>
      </c>
      <c r="AL190" s="1091">
        <f t="shared" si="227"/>
        <v>60.656366999999996</v>
      </c>
      <c r="AM190" s="293">
        <f t="shared" ref="AM190:BB190" si="275">$AZ135+(($AM135-$AZ135-$AQ135-$AR135-$AS135)*EXP(-$E$99*$E$88*AM$160))+($AQ135*EXP(-$E$98*$E$88*AM$160))+($AR135*EXP(-$E$98*$E$88*AM$160))+($AS135*EXP(-$E$98*$E$88*AM$160))</f>
        <v>62.547702566192342</v>
      </c>
      <c r="AN190" s="293">
        <f t="shared" si="275"/>
        <v>60.504148871912967</v>
      </c>
      <c r="AO190" s="293">
        <f t="shared" si="275"/>
        <v>56.83866500956173</v>
      </c>
      <c r="AP190" s="293">
        <f t="shared" si="275"/>
        <v>53.394984404674652</v>
      </c>
      <c r="AQ190" s="293">
        <f t="shared" si="275"/>
        <v>50.159945838474904</v>
      </c>
      <c r="AR190" s="293">
        <f t="shared" si="275"/>
        <v>47.12090835067977</v>
      </c>
      <c r="AS190" s="293">
        <f t="shared" si="275"/>
        <v>44.265996836265174</v>
      </c>
      <c r="AT190" s="293">
        <f t="shared" si="275"/>
        <v>41.58405566644749</v>
      </c>
      <c r="AU190" s="293">
        <f t="shared" si="275"/>
        <v>39.06460509782351</v>
      </c>
      <c r="AV190" s="293">
        <f t="shared" si="275"/>
        <v>36.697800322545305</v>
      </c>
      <c r="AW190" s="293">
        <f t="shared" si="275"/>
        <v>34.474392999519644</v>
      </c>
      <c r="AX190" s="293">
        <f t="shared" si="275"/>
        <v>18.452812844247962</v>
      </c>
      <c r="AY190" s="293">
        <f t="shared" si="275"/>
        <v>5.2868193954403688</v>
      </c>
      <c r="AZ190" s="293">
        <f t="shared" si="275"/>
        <v>1.5146991169271558</v>
      </c>
      <c r="BA190" s="293">
        <f t="shared" si="275"/>
        <v>0.43396856279952412</v>
      </c>
      <c r="BB190" s="293">
        <f t="shared" si="275"/>
        <v>0.12433407492858632</v>
      </c>
      <c r="BC190" s="1091">
        <f t="shared" si="229"/>
        <v>58.492722000000008</v>
      </c>
      <c r="BD190" s="293">
        <f t="shared" ref="BD190:BS190" si="276">$BQ135+(($BD135-$BQ135-$BH135-$BI135-$BJ135)*EXP(-$E$99*$E$88*BD$160))+($BH135*EXP(-$E$98*$E$88*BD$160))+($BI135*EXP(-$E$98*$E$88*BD$160))+($BJ135*EXP(-$E$98*$E$88*BD$160))</f>
        <v>60.272826415226412</v>
      </c>
      <c r="BE190" s="293">
        <f t="shared" si="276"/>
        <v>58.277991444872725</v>
      </c>
      <c r="BF190" s="293">
        <f t="shared" si="276"/>
        <v>54.747368408338367</v>
      </c>
      <c r="BG190" s="293">
        <f t="shared" si="276"/>
        <v>51.430393058069214</v>
      </c>
      <c r="BH190" s="293">
        <f t="shared" si="276"/>
        <v>48.31438306438335</v>
      </c>
      <c r="BI190" s="293">
        <f t="shared" si="276"/>
        <v>45.387162572455885</v>
      </c>
      <c r="BJ190" s="293">
        <f t="shared" si="276"/>
        <v>42.637293404603938</v>
      </c>
      <c r="BK190" s="293">
        <f t="shared" si="276"/>
        <v>40.054030387295796</v>
      </c>
      <c r="BL190" s="293">
        <f t="shared" si="276"/>
        <v>37.627279364153573</v>
      </c>
      <c r="BM190" s="293">
        <f t="shared" si="276"/>
        <v>35.347557752817799</v>
      </c>
      <c r="BN190" s="293">
        <f t="shared" si="276"/>
        <v>33.205957491550791</v>
      </c>
      <c r="BO190" s="293">
        <f t="shared" si="276"/>
        <v>17.773868242268342</v>
      </c>
      <c r="BP190" s="293">
        <f t="shared" si="276"/>
        <v>5.0922985101708758</v>
      </c>
      <c r="BQ190" s="293">
        <f t="shared" si="276"/>
        <v>1.4589679502079553</v>
      </c>
      <c r="BR190" s="293">
        <f t="shared" si="276"/>
        <v>0.4180013161998582</v>
      </c>
      <c r="BS190" s="293">
        <f t="shared" si="276"/>
        <v>0.11975938218513246</v>
      </c>
      <c r="BT190" s="1091">
        <f t="shared" si="231"/>
        <v>52.714260000000003</v>
      </c>
      <c r="BU190" s="293">
        <f t="shared" ref="BU190:CJ190" si="277">$CH135+(($BU135-$CH135-$BY135-$BZ135-$CA135)*EXP(-$E$99*$E$88*BU$160))+($BY135*EXP(-$E$98*$E$88*BU$160))+($BZ135*EXP(-$E$98*$E$88*BU$160))+($CA135*EXP(-$E$98*$E$88*BU$160))</f>
        <v>54.259345089260584</v>
      </c>
      <c r="BV190" s="293">
        <f t="shared" si="277"/>
        <v>52.428897303277338</v>
      </c>
      <c r="BW190" s="293">
        <f t="shared" si="277"/>
        <v>49.25261985892255</v>
      </c>
      <c r="BX190" s="293">
        <f t="shared" si="277"/>
        <v>46.268554491267409</v>
      </c>
      <c r="BY190" s="293">
        <f t="shared" si="277"/>
        <v>43.465284486595131</v>
      </c>
      <c r="BZ190" s="293">
        <f t="shared" si="277"/>
        <v>40.831856025611387</v>
      </c>
      <c r="CA190" s="293">
        <f t="shared" si="277"/>
        <v>38.357978929378469</v>
      </c>
      <c r="CB190" s="293">
        <f t="shared" si="277"/>
        <v>36.033986469382192</v>
      </c>
      <c r="CC190" s="293">
        <f t="shared" si="277"/>
        <v>33.850797594581671</v>
      </c>
      <c r="CD190" s="293">
        <f t="shared" si="277"/>
        <v>31.799881447005006</v>
      </c>
      <c r="CE190" s="293">
        <f t="shared" si="277"/>
        <v>29.8732240272364</v>
      </c>
      <c r="CF190" s="293">
        <f t="shared" si="277"/>
        <v>15.989984567286378</v>
      </c>
      <c r="CG190" s="293">
        <f t="shared" si="277"/>
        <v>4.5812072802479582</v>
      </c>
      <c r="CH190" s="293">
        <f t="shared" si="277"/>
        <v>1.3125378612018652</v>
      </c>
      <c r="CI190" s="293">
        <f t="shared" si="277"/>
        <v>0.37604839329494877</v>
      </c>
      <c r="CJ190" s="1100">
        <f t="shared" si="277"/>
        <v>0.10773966853057018</v>
      </c>
    </row>
    <row r="191" spans="2:88" ht="17.5">
      <c r="B191" s="223"/>
      <c r="C191" s="223">
        <f t="shared" si="222"/>
        <v>0</v>
      </c>
      <c r="D191" s="295">
        <f t="shared" si="223"/>
        <v>61.141547999999993</v>
      </c>
      <c r="E191" s="293">
        <f t="shared" ref="E191:T191" si="278">$R136+(($E136-$R136-$I136-$J136-$K136)*EXP(-$E$99*$E$88*E$160))+($I136*EXP(-$E$98*$E$88*E$160))+($J136*EXP(-$E$98*$E$88*E$160))+($K136*EXP(-$E$98*$E$88*E$160))</f>
        <v>62.476160305498937</v>
      </c>
      <c r="F191" s="293">
        <f t="shared" si="278"/>
        <v>60.100376444754623</v>
      </c>
      <c r="G191" s="293">
        <f t="shared" si="278"/>
        <v>56.459288278855958</v>
      </c>
      <c r="H191" s="293">
        <f t="shared" si="278"/>
        <v>53.03859294279976</v>
      </c>
      <c r="I191" s="293">
        <f t="shared" si="278"/>
        <v>49.825147043714018</v>
      </c>
      <c r="J191" s="293">
        <f t="shared" si="278"/>
        <v>46.806393989467182</v>
      </c>
      <c r="K191" s="293">
        <f t="shared" si="278"/>
        <v>43.970537936899632</v>
      </c>
      <c r="L191" s="293">
        <f t="shared" si="278"/>
        <v>41.306497716859013</v>
      </c>
      <c r="M191" s="293">
        <f t="shared" si="278"/>
        <v>38.803863534292368</v>
      </c>
      <c r="N191" s="293">
        <f t="shared" si="278"/>
        <v>36.452856291745739</v>
      </c>
      <c r="O191" s="293">
        <f t="shared" si="278"/>
        <v>34.24428937732835</v>
      </c>
      <c r="P191" s="293">
        <f t="shared" si="278"/>
        <v>18.329647250726453</v>
      </c>
      <c r="Q191" s="293">
        <f t="shared" si="278"/>
        <v>5.2515318620883251</v>
      </c>
      <c r="R191" s="293">
        <f t="shared" si="278"/>
        <v>1.5045890693524313</v>
      </c>
      <c r="S191" s="293">
        <f t="shared" si="278"/>
        <v>0.4310719856728808</v>
      </c>
      <c r="T191" s="293">
        <f t="shared" si="278"/>
        <v>0.1235041916873275</v>
      </c>
      <c r="U191" s="1091">
        <f t="shared" si="225"/>
        <v>61.141547999999993</v>
      </c>
      <c r="V191" s="293">
        <f t="shared" ref="V191:AK191" si="279">$AI136+(($V136-$AI136-$Z136-$AA136-$AB136)*EXP(-$E$99*$E$88*V$160))+($Z136*EXP(-$E$98*$E$88*V$160))+($AA136*EXP(-$E$98*$E$88*V$160))+($AB136*EXP(-$E$98*$E$88*V$160))</f>
        <v>62.956515787710607</v>
      </c>
      <c r="W191" s="293">
        <f t="shared" si="279"/>
        <v>60.84607456517152</v>
      </c>
      <c r="X191" s="293">
        <f t="shared" si="279"/>
        <v>57.159865512751978</v>
      </c>
      <c r="Y191" s="293">
        <f t="shared" si="279"/>
        <v>53.696724352448811</v>
      </c>
      <c r="Z191" s="293">
        <f t="shared" si="279"/>
        <v>50.443404286986542</v>
      </c>
      <c r="AA191" s="293">
        <f t="shared" si="279"/>
        <v>47.387192919976442</v>
      </c>
      <c r="AB191" s="293">
        <f t="shared" si="279"/>
        <v>44.516148039088129</v>
      </c>
      <c r="AC191" s="293">
        <f t="shared" si="279"/>
        <v>41.81905097405788</v>
      </c>
      <c r="AD191" s="293">
        <f t="shared" si="279"/>
        <v>39.285362759492578</v>
      </c>
      <c r="AE191" s="293">
        <f t="shared" si="279"/>
        <v>36.905182953633386</v>
      </c>
      <c r="AF191" s="293">
        <f t="shared" si="279"/>
        <v>34.66921095216442</v>
      </c>
      <c r="AG191" s="293">
        <f t="shared" si="279"/>
        <v>18.557091379881747</v>
      </c>
      <c r="AH191" s="293">
        <f t="shared" si="279"/>
        <v>5.3166956961090053</v>
      </c>
      <c r="AI191" s="293">
        <f t="shared" si="279"/>
        <v>1.5232588203811572</v>
      </c>
      <c r="AJ191" s="293">
        <f t="shared" si="279"/>
        <v>0.43642095889879629</v>
      </c>
      <c r="AK191" s="293">
        <f t="shared" si="279"/>
        <v>0.12503669817482901</v>
      </c>
      <c r="AL191" s="1091">
        <f t="shared" si="227"/>
        <v>60.656366999999996</v>
      </c>
      <c r="AM191" s="293">
        <f t="shared" ref="AM191:BB191" si="280">$AZ136+(($AM136-$AZ136-$AQ136-$AR136-$AS136)*EXP(-$E$99*$E$88*AM$160))+($AQ136*EXP(-$E$98*$E$88*AM$160))+($AR136*EXP(-$E$98*$E$88*AM$160))+($AS136*EXP(-$E$98*$E$88*AM$160))</f>
        <v>62.547702566192342</v>
      </c>
      <c r="AN191" s="293">
        <f t="shared" si="280"/>
        <v>60.504148871912967</v>
      </c>
      <c r="AO191" s="293">
        <f t="shared" si="280"/>
        <v>56.83866500956173</v>
      </c>
      <c r="AP191" s="293">
        <f t="shared" si="280"/>
        <v>53.394984404674652</v>
      </c>
      <c r="AQ191" s="293">
        <f t="shared" si="280"/>
        <v>50.159945838474904</v>
      </c>
      <c r="AR191" s="293">
        <f t="shared" si="280"/>
        <v>47.12090835067977</v>
      </c>
      <c r="AS191" s="293">
        <f t="shared" si="280"/>
        <v>44.265996836265174</v>
      </c>
      <c r="AT191" s="293">
        <f t="shared" si="280"/>
        <v>41.58405566644749</v>
      </c>
      <c r="AU191" s="293">
        <f t="shared" si="280"/>
        <v>39.06460509782351</v>
      </c>
      <c r="AV191" s="293">
        <f t="shared" si="280"/>
        <v>36.697800322545305</v>
      </c>
      <c r="AW191" s="293">
        <f t="shared" si="280"/>
        <v>34.474392999519644</v>
      </c>
      <c r="AX191" s="293">
        <f t="shared" si="280"/>
        <v>18.452812844247962</v>
      </c>
      <c r="AY191" s="293">
        <f t="shared" si="280"/>
        <v>5.2868193954403688</v>
      </c>
      <c r="AZ191" s="293">
        <f t="shared" si="280"/>
        <v>1.5146991169271558</v>
      </c>
      <c r="BA191" s="293">
        <f t="shared" si="280"/>
        <v>0.43396856279952412</v>
      </c>
      <c r="BB191" s="293">
        <f t="shared" si="280"/>
        <v>0.12433407492858632</v>
      </c>
      <c r="BC191" s="1091">
        <f t="shared" si="229"/>
        <v>58.492722000000008</v>
      </c>
      <c r="BD191" s="293">
        <f t="shared" ref="BD191:BS191" si="281">$BQ136+(($BD136-$BQ136-$BH136-$BI136-$BJ136)*EXP(-$E$99*$E$88*BD$160))+($BH136*EXP(-$E$98*$E$88*BD$160))+($BI136*EXP(-$E$98*$E$88*BD$160))+($BJ136*EXP(-$E$98*$E$88*BD$160))</f>
        <v>60.272826415226412</v>
      </c>
      <c r="BE191" s="293">
        <f t="shared" si="281"/>
        <v>58.277991444872725</v>
      </c>
      <c r="BF191" s="293">
        <f t="shared" si="281"/>
        <v>54.747368408338367</v>
      </c>
      <c r="BG191" s="293">
        <f t="shared" si="281"/>
        <v>51.430393058069214</v>
      </c>
      <c r="BH191" s="293">
        <f t="shared" si="281"/>
        <v>48.31438306438335</v>
      </c>
      <c r="BI191" s="293">
        <f t="shared" si="281"/>
        <v>45.387162572455885</v>
      </c>
      <c r="BJ191" s="293">
        <f t="shared" si="281"/>
        <v>42.637293404603938</v>
      </c>
      <c r="BK191" s="293">
        <f t="shared" si="281"/>
        <v>40.054030387295796</v>
      </c>
      <c r="BL191" s="293">
        <f t="shared" si="281"/>
        <v>37.627279364153573</v>
      </c>
      <c r="BM191" s="293">
        <f t="shared" si="281"/>
        <v>35.347557752817799</v>
      </c>
      <c r="BN191" s="293">
        <f t="shared" si="281"/>
        <v>33.205957491550791</v>
      </c>
      <c r="BO191" s="293">
        <f t="shared" si="281"/>
        <v>17.773868242268342</v>
      </c>
      <c r="BP191" s="293">
        <f t="shared" si="281"/>
        <v>5.0922985101708758</v>
      </c>
      <c r="BQ191" s="293">
        <f t="shared" si="281"/>
        <v>1.4589679502079553</v>
      </c>
      <c r="BR191" s="293">
        <f t="shared" si="281"/>
        <v>0.4180013161998582</v>
      </c>
      <c r="BS191" s="293">
        <f t="shared" si="281"/>
        <v>0.11975938218513246</v>
      </c>
      <c r="BT191" s="1091">
        <f t="shared" si="231"/>
        <v>52.714260000000003</v>
      </c>
      <c r="BU191" s="293">
        <f t="shared" ref="BU191:CJ191" si="282">$CH136+(($BU136-$CH136-$BY136-$BZ136-$CA136)*EXP(-$E$99*$E$88*BU$160))+($BY136*EXP(-$E$98*$E$88*BU$160))+($BZ136*EXP(-$E$98*$E$88*BU$160))+($CA136*EXP(-$E$98*$E$88*BU$160))</f>
        <v>54.259345089260584</v>
      </c>
      <c r="BV191" s="293">
        <f t="shared" si="282"/>
        <v>52.428897303277338</v>
      </c>
      <c r="BW191" s="293">
        <f t="shared" si="282"/>
        <v>49.25261985892255</v>
      </c>
      <c r="BX191" s="293">
        <f t="shared" si="282"/>
        <v>46.268554491267409</v>
      </c>
      <c r="BY191" s="293">
        <f t="shared" si="282"/>
        <v>43.465284486595131</v>
      </c>
      <c r="BZ191" s="293">
        <f t="shared" si="282"/>
        <v>40.831856025611387</v>
      </c>
      <c r="CA191" s="293">
        <f t="shared" si="282"/>
        <v>38.357978929378469</v>
      </c>
      <c r="CB191" s="293">
        <f t="shared" si="282"/>
        <v>36.033986469382192</v>
      </c>
      <c r="CC191" s="293">
        <f t="shared" si="282"/>
        <v>33.850797594581671</v>
      </c>
      <c r="CD191" s="293">
        <f t="shared" si="282"/>
        <v>31.799881447005006</v>
      </c>
      <c r="CE191" s="293">
        <f t="shared" si="282"/>
        <v>29.8732240272364</v>
      </c>
      <c r="CF191" s="293">
        <f t="shared" si="282"/>
        <v>15.989984567286378</v>
      </c>
      <c r="CG191" s="293">
        <f t="shared" si="282"/>
        <v>4.5812072802479582</v>
      </c>
      <c r="CH191" s="293">
        <f t="shared" si="282"/>
        <v>1.3125378612018652</v>
      </c>
      <c r="CI191" s="293">
        <f t="shared" si="282"/>
        <v>0.37604839329494877</v>
      </c>
      <c r="CJ191" s="1100">
        <f t="shared" si="282"/>
        <v>0.10773966853057018</v>
      </c>
    </row>
    <row r="192" spans="2:88" ht="17.5">
      <c r="B192" s="223"/>
      <c r="C192" s="223">
        <f t="shared" si="222"/>
        <v>0</v>
      </c>
      <c r="D192" s="295">
        <f t="shared" si="223"/>
        <v>61.141547999999993</v>
      </c>
      <c r="E192" s="293">
        <f t="shared" ref="E192:T192" si="283">$R137+(($E137-$R137-$I137-$J137-$K137)*EXP(-$E$99*$E$88*E$160))+($I137*EXP(-$E$98*$E$88*E$160))+($J137*EXP(-$E$98*$E$88*E$160))+($K137*EXP(-$E$98*$E$88*E$160))</f>
        <v>62.476160305498937</v>
      </c>
      <c r="F192" s="293">
        <f t="shared" si="283"/>
        <v>60.100376444754623</v>
      </c>
      <c r="G192" s="293">
        <f t="shared" si="283"/>
        <v>56.459288278855958</v>
      </c>
      <c r="H192" s="293">
        <f t="shared" si="283"/>
        <v>53.03859294279976</v>
      </c>
      <c r="I192" s="293">
        <f t="shared" si="283"/>
        <v>49.825147043714018</v>
      </c>
      <c r="J192" s="293">
        <f t="shared" si="283"/>
        <v>46.806393989467182</v>
      </c>
      <c r="K192" s="293">
        <f t="shared" si="283"/>
        <v>43.970537936899632</v>
      </c>
      <c r="L192" s="293">
        <f t="shared" si="283"/>
        <v>41.306497716859013</v>
      </c>
      <c r="M192" s="293">
        <f t="shared" si="283"/>
        <v>38.803863534292368</v>
      </c>
      <c r="N192" s="293">
        <f t="shared" si="283"/>
        <v>36.452856291745739</v>
      </c>
      <c r="O192" s="293">
        <f t="shared" si="283"/>
        <v>34.24428937732835</v>
      </c>
      <c r="P192" s="293">
        <f t="shared" si="283"/>
        <v>18.329647250726453</v>
      </c>
      <c r="Q192" s="293">
        <f t="shared" si="283"/>
        <v>5.2515318620883251</v>
      </c>
      <c r="R192" s="293">
        <f t="shared" si="283"/>
        <v>1.5045890693524313</v>
      </c>
      <c r="S192" s="293">
        <f t="shared" si="283"/>
        <v>0.4310719856728808</v>
      </c>
      <c r="T192" s="293">
        <f t="shared" si="283"/>
        <v>0.1235041916873275</v>
      </c>
      <c r="U192" s="1091">
        <f t="shared" si="225"/>
        <v>61.141547999999993</v>
      </c>
      <c r="V192" s="293">
        <f t="shared" ref="V192:AK192" si="284">$AI137+(($V137-$AI137-$Z137-$AA137-$AB137)*EXP(-$E$99*$E$88*V$160))+($Z137*EXP(-$E$98*$E$88*V$160))+($AA137*EXP(-$E$98*$E$88*V$160))+($AB137*EXP(-$E$98*$E$88*V$160))</f>
        <v>62.956515787710607</v>
      </c>
      <c r="W192" s="293">
        <f t="shared" si="284"/>
        <v>60.84607456517152</v>
      </c>
      <c r="X192" s="293">
        <f t="shared" si="284"/>
        <v>57.159865512751978</v>
      </c>
      <c r="Y192" s="293">
        <f t="shared" si="284"/>
        <v>53.696724352448811</v>
      </c>
      <c r="Z192" s="293">
        <f t="shared" si="284"/>
        <v>50.443404286986542</v>
      </c>
      <c r="AA192" s="293">
        <f t="shared" si="284"/>
        <v>47.387192919976442</v>
      </c>
      <c r="AB192" s="293">
        <f t="shared" si="284"/>
        <v>44.516148039088129</v>
      </c>
      <c r="AC192" s="293">
        <f t="shared" si="284"/>
        <v>41.81905097405788</v>
      </c>
      <c r="AD192" s="293">
        <f t="shared" si="284"/>
        <v>39.285362759492578</v>
      </c>
      <c r="AE192" s="293">
        <f t="shared" si="284"/>
        <v>36.905182953633386</v>
      </c>
      <c r="AF192" s="293">
        <f t="shared" si="284"/>
        <v>34.66921095216442</v>
      </c>
      <c r="AG192" s="293">
        <f t="shared" si="284"/>
        <v>18.557091379881747</v>
      </c>
      <c r="AH192" s="293">
        <f t="shared" si="284"/>
        <v>5.3166956961090053</v>
      </c>
      <c r="AI192" s="293">
        <f t="shared" si="284"/>
        <v>1.5232588203811572</v>
      </c>
      <c r="AJ192" s="293">
        <f t="shared" si="284"/>
        <v>0.43642095889879629</v>
      </c>
      <c r="AK192" s="293">
        <f t="shared" si="284"/>
        <v>0.12503669817482901</v>
      </c>
      <c r="AL192" s="1091">
        <f t="shared" si="227"/>
        <v>60.656366999999996</v>
      </c>
      <c r="AM192" s="293">
        <f t="shared" ref="AM192:BB192" si="285">$AZ137+(($AM137-$AZ137-$AQ137-$AR137-$AS137)*EXP(-$E$99*$E$88*AM$160))+($AQ137*EXP(-$E$98*$E$88*AM$160))+($AR137*EXP(-$E$98*$E$88*AM$160))+($AS137*EXP(-$E$98*$E$88*AM$160))</f>
        <v>62.547702566192342</v>
      </c>
      <c r="AN192" s="293">
        <f t="shared" si="285"/>
        <v>60.504148871912967</v>
      </c>
      <c r="AO192" s="293">
        <f t="shared" si="285"/>
        <v>56.83866500956173</v>
      </c>
      <c r="AP192" s="293">
        <f t="shared" si="285"/>
        <v>53.394984404674652</v>
      </c>
      <c r="AQ192" s="293">
        <f t="shared" si="285"/>
        <v>50.159945838474904</v>
      </c>
      <c r="AR192" s="293">
        <f t="shared" si="285"/>
        <v>47.12090835067977</v>
      </c>
      <c r="AS192" s="293">
        <f t="shared" si="285"/>
        <v>44.265996836265174</v>
      </c>
      <c r="AT192" s="293">
        <f t="shared" si="285"/>
        <v>41.58405566644749</v>
      </c>
      <c r="AU192" s="293">
        <f t="shared" si="285"/>
        <v>39.06460509782351</v>
      </c>
      <c r="AV192" s="293">
        <f t="shared" si="285"/>
        <v>36.697800322545305</v>
      </c>
      <c r="AW192" s="293">
        <f t="shared" si="285"/>
        <v>34.474392999519644</v>
      </c>
      <c r="AX192" s="293">
        <f t="shared" si="285"/>
        <v>18.452812844247962</v>
      </c>
      <c r="AY192" s="293">
        <f t="shared" si="285"/>
        <v>5.2868193954403688</v>
      </c>
      <c r="AZ192" s="293">
        <f t="shared" si="285"/>
        <v>1.5146991169271558</v>
      </c>
      <c r="BA192" s="293">
        <f t="shared" si="285"/>
        <v>0.43396856279952412</v>
      </c>
      <c r="BB192" s="293">
        <f t="shared" si="285"/>
        <v>0.12433407492858632</v>
      </c>
      <c r="BC192" s="1091">
        <f t="shared" si="229"/>
        <v>58.492722000000008</v>
      </c>
      <c r="BD192" s="293">
        <f t="shared" ref="BD192:BS192" si="286">$BQ137+(($BD137-$BQ137-$BH137-$BI137-$BJ137)*EXP(-$E$99*$E$88*BD$160))+($BH137*EXP(-$E$98*$E$88*BD$160))+($BI137*EXP(-$E$98*$E$88*BD$160))+($BJ137*EXP(-$E$98*$E$88*BD$160))</f>
        <v>60.272826415226412</v>
      </c>
      <c r="BE192" s="293">
        <f t="shared" si="286"/>
        <v>58.277991444872725</v>
      </c>
      <c r="BF192" s="293">
        <f t="shared" si="286"/>
        <v>54.747368408338367</v>
      </c>
      <c r="BG192" s="293">
        <f t="shared" si="286"/>
        <v>51.430393058069214</v>
      </c>
      <c r="BH192" s="293">
        <f t="shared" si="286"/>
        <v>48.31438306438335</v>
      </c>
      <c r="BI192" s="293">
        <f t="shared" si="286"/>
        <v>45.387162572455885</v>
      </c>
      <c r="BJ192" s="293">
        <f t="shared" si="286"/>
        <v>42.637293404603938</v>
      </c>
      <c r="BK192" s="293">
        <f t="shared" si="286"/>
        <v>40.054030387295796</v>
      </c>
      <c r="BL192" s="293">
        <f t="shared" si="286"/>
        <v>37.627279364153573</v>
      </c>
      <c r="BM192" s="293">
        <f t="shared" si="286"/>
        <v>35.347557752817799</v>
      </c>
      <c r="BN192" s="293">
        <f t="shared" si="286"/>
        <v>33.205957491550791</v>
      </c>
      <c r="BO192" s="293">
        <f t="shared" si="286"/>
        <v>17.773868242268342</v>
      </c>
      <c r="BP192" s="293">
        <f t="shared" si="286"/>
        <v>5.0922985101708758</v>
      </c>
      <c r="BQ192" s="293">
        <f t="shared" si="286"/>
        <v>1.4589679502079553</v>
      </c>
      <c r="BR192" s="293">
        <f t="shared" si="286"/>
        <v>0.4180013161998582</v>
      </c>
      <c r="BS192" s="293">
        <f t="shared" si="286"/>
        <v>0.11975938218513246</v>
      </c>
      <c r="BT192" s="1091">
        <f t="shared" si="231"/>
        <v>52.714260000000003</v>
      </c>
      <c r="BU192" s="293">
        <f t="shared" ref="BU192:CJ192" si="287">$CH137+(($BU137-$CH137-$BY137-$BZ137-$CA137)*EXP(-$E$99*$E$88*BU$160))+($BY137*EXP(-$E$98*$E$88*BU$160))+($BZ137*EXP(-$E$98*$E$88*BU$160))+($CA137*EXP(-$E$98*$E$88*BU$160))</f>
        <v>54.259345089260584</v>
      </c>
      <c r="BV192" s="293">
        <f t="shared" si="287"/>
        <v>52.428897303277338</v>
      </c>
      <c r="BW192" s="293">
        <f t="shared" si="287"/>
        <v>49.25261985892255</v>
      </c>
      <c r="BX192" s="293">
        <f t="shared" si="287"/>
        <v>46.268554491267409</v>
      </c>
      <c r="BY192" s="293">
        <f t="shared" si="287"/>
        <v>43.465284486595131</v>
      </c>
      <c r="BZ192" s="293">
        <f t="shared" si="287"/>
        <v>40.831856025611387</v>
      </c>
      <c r="CA192" s="293">
        <f t="shared" si="287"/>
        <v>38.357978929378469</v>
      </c>
      <c r="CB192" s="293">
        <f t="shared" si="287"/>
        <v>36.033986469382192</v>
      </c>
      <c r="CC192" s="293">
        <f t="shared" si="287"/>
        <v>33.850797594581671</v>
      </c>
      <c r="CD192" s="293">
        <f t="shared" si="287"/>
        <v>31.799881447005006</v>
      </c>
      <c r="CE192" s="293">
        <f t="shared" si="287"/>
        <v>29.8732240272364</v>
      </c>
      <c r="CF192" s="293">
        <f t="shared" si="287"/>
        <v>15.989984567286378</v>
      </c>
      <c r="CG192" s="293">
        <f t="shared" si="287"/>
        <v>4.5812072802479582</v>
      </c>
      <c r="CH192" s="293">
        <f t="shared" si="287"/>
        <v>1.3125378612018652</v>
      </c>
      <c r="CI192" s="293">
        <f t="shared" si="287"/>
        <v>0.37604839329494877</v>
      </c>
      <c r="CJ192" s="1100">
        <f t="shared" si="287"/>
        <v>0.10773966853057018</v>
      </c>
    </row>
    <row r="193" spans="2:88" ht="17.5">
      <c r="B193" s="223"/>
      <c r="C193" s="223">
        <f t="shared" si="222"/>
        <v>0</v>
      </c>
      <c r="D193" s="295">
        <f t="shared" si="223"/>
        <v>61.141547999999993</v>
      </c>
      <c r="E193" s="293">
        <f t="shared" ref="E193:T193" si="288">$R138+(($E138-$R138-$I138-$J138-$K138)*EXP(-$E$99*$E$88*E$160))+($I138*EXP(-$E$98*$E$88*E$160))+($J138*EXP(-$E$98*$E$88*E$160))+($K138*EXP(-$E$98*$E$88*E$160))</f>
        <v>62.476160305498937</v>
      </c>
      <c r="F193" s="293">
        <f t="shared" si="288"/>
        <v>60.100376444754623</v>
      </c>
      <c r="G193" s="293">
        <f t="shared" si="288"/>
        <v>56.459288278855958</v>
      </c>
      <c r="H193" s="293">
        <f t="shared" si="288"/>
        <v>53.03859294279976</v>
      </c>
      <c r="I193" s="293">
        <f t="shared" si="288"/>
        <v>49.825147043714018</v>
      </c>
      <c r="J193" s="293">
        <f t="shared" si="288"/>
        <v>46.806393989467182</v>
      </c>
      <c r="K193" s="293">
        <f t="shared" si="288"/>
        <v>43.970537936899632</v>
      </c>
      <c r="L193" s="293">
        <f t="shared" si="288"/>
        <v>41.306497716859013</v>
      </c>
      <c r="M193" s="293">
        <f t="shared" si="288"/>
        <v>38.803863534292368</v>
      </c>
      <c r="N193" s="293">
        <f t="shared" si="288"/>
        <v>36.452856291745739</v>
      </c>
      <c r="O193" s="293">
        <f t="shared" si="288"/>
        <v>34.24428937732835</v>
      </c>
      <c r="P193" s="293">
        <f t="shared" si="288"/>
        <v>18.329647250726453</v>
      </c>
      <c r="Q193" s="293">
        <f t="shared" si="288"/>
        <v>5.2515318620883251</v>
      </c>
      <c r="R193" s="293">
        <f t="shared" si="288"/>
        <v>1.5045890693524313</v>
      </c>
      <c r="S193" s="293">
        <f t="shared" si="288"/>
        <v>0.4310719856728808</v>
      </c>
      <c r="T193" s="293">
        <f t="shared" si="288"/>
        <v>0.1235041916873275</v>
      </c>
      <c r="U193" s="1091">
        <f t="shared" si="225"/>
        <v>61.141547999999993</v>
      </c>
      <c r="V193" s="293">
        <f t="shared" ref="V193:AK193" si="289">$AI138+(($V138-$AI138-$Z138-$AA138-$AB138)*EXP(-$E$99*$E$88*V$160))+($Z138*EXP(-$E$98*$E$88*V$160))+($AA138*EXP(-$E$98*$E$88*V$160))+($AB138*EXP(-$E$98*$E$88*V$160))</f>
        <v>62.956515787710607</v>
      </c>
      <c r="W193" s="293">
        <f t="shared" si="289"/>
        <v>60.84607456517152</v>
      </c>
      <c r="X193" s="293">
        <f t="shared" si="289"/>
        <v>57.159865512751978</v>
      </c>
      <c r="Y193" s="293">
        <f t="shared" si="289"/>
        <v>53.696724352448811</v>
      </c>
      <c r="Z193" s="293">
        <f t="shared" si="289"/>
        <v>50.443404286986542</v>
      </c>
      <c r="AA193" s="293">
        <f t="shared" si="289"/>
        <v>47.387192919976442</v>
      </c>
      <c r="AB193" s="293">
        <f t="shared" si="289"/>
        <v>44.516148039088129</v>
      </c>
      <c r="AC193" s="293">
        <f t="shared" si="289"/>
        <v>41.81905097405788</v>
      </c>
      <c r="AD193" s="293">
        <f t="shared" si="289"/>
        <v>39.285362759492578</v>
      </c>
      <c r="AE193" s="293">
        <f t="shared" si="289"/>
        <v>36.905182953633386</v>
      </c>
      <c r="AF193" s="293">
        <f t="shared" si="289"/>
        <v>34.66921095216442</v>
      </c>
      <c r="AG193" s="293">
        <f t="shared" si="289"/>
        <v>18.557091379881747</v>
      </c>
      <c r="AH193" s="293">
        <f t="shared" si="289"/>
        <v>5.3166956961090053</v>
      </c>
      <c r="AI193" s="293">
        <f t="shared" si="289"/>
        <v>1.5232588203811572</v>
      </c>
      <c r="AJ193" s="293">
        <f t="shared" si="289"/>
        <v>0.43642095889879629</v>
      </c>
      <c r="AK193" s="293">
        <f t="shared" si="289"/>
        <v>0.12503669817482901</v>
      </c>
      <c r="AL193" s="1091">
        <f t="shared" si="227"/>
        <v>60.656366999999996</v>
      </c>
      <c r="AM193" s="293">
        <f t="shared" ref="AM193:BB193" si="290">$AZ138+(($AM138-$AZ138-$AQ138-$AR138-$AS138)*EXP(-$E$99*$E$88*AM$160))+($AQ138*EXP(-$E$98*$E$88*AM$160))+($AR138*EXP(-$E$98*$E$88*AM$160))+($AS138*EXP(-$E$98*$E$88*AM$160))</f>
        <v>62.547702566192342</v>
      </c>
      <c r="AN193" s="293">
        <f t="shared" si="290"/>
        <v>60.504148871912967</v>
      </c>
      <c r="AO193" s="293">
        <f t="shared" si="290"/>
        <v>56.83866500956173</v>
      </c>
      <c r="AP193" s="293">
        <f t="shared" si="290"/>
        <v>53.394984404674652</v>
      </c>
      <c r="AQ193" s="293">
        <f t="shared" si="290"/>
        <v>50.159945838474904</v>
      </c>
      <c r="AR193" s="293">
        <f t="shared" si="290"/>
        <v>47.12090835067977</v>
      </c>
      <c r="AS193" s="293">
        <f t="shared" si="290"/>
        <v>44.265996836265174</v>
      </c>
      <c r="AT193" s="293">
        <f t="shared" si="290"/>
        <v>41.58405566644749</v>
      </c>
      <c r="AU193" s="293">
        <f t="shared" si="290"/>
        <v>39.06460509782351</v>
      </c>
      <c r="AV193" s="293">
        <f t="shared" si="290"/>
        <v>36.697800322545305</v>
      </c>
      <c r="AW193" s="293">
        <f t="shared" si="290"/>
        <v>34.474392999519644</v>
      </c>
      <c r="AX193" s="293">
        <f t="shared" si="290"/>
        <v>18.452812844247962</v>
      </c>
      <c r="AY193" s="293">
        <f t="shared" si="290"/>
        <v>5.2868193954403688</v>
      </c>
      <c r="AZ193" s="293">
        <f t="shared" si="290"/>
        <v>1.5146991169271558</v>
      </c>
      <c r="BA193" s="293">
        <f t="shared" si="290"/>
        <v>0.43396856279952412</v>
      </c>
      <c r="BB193" s="293">
        <f t="shared" si="290"/>
        <v>0.12433407492858632</v>
      </c>
      <c r="BC193" s="1091">
        <f t="shared" si="229"/>
        <v>58.492722000000008</v>
      </c>
      <c r="BD193" s="293">
        <f t="shared" ref="BD193:BS193" si="291">$BQ138+(($BD138-$BQ138-$BH138-$BI138-$BJ138)*EXP(-$E$99*$E$88*BD$160))+($BH138*EXP(-$E$98*$E$88*BD$160))+($BI138*EXP(-$E$98*$E$88*BD$160))+($BJ138*EXP(-$E$98*$E$88*BD$160))</f>
        <v>60.272826415226412</v>
      </c>
      <c r="BE193" s="293">
        <f t="shared" si="291"/>
        <v>58.277991444872725</v>
      </c>
      <c r="BF193" s="293">
        <f t="shared" si="291"/>
        <v>54.747368408338367</v>
      </c>
      <c r="BG193" s="293">
        <f t="shared" si="291"/>
        <v>51.430393058069214</v>
      </c>
      <c r="BH193" s="293">
        <f t="shared" si="291"/>
        <v>48.31438306438335</v>
      </c>
      <c r="BI193" s="293">
        <f t="shared" si="291"/>
        <v>45.387162572455885</v>
      </c>
      <c r="BJ193" s="293">
        <f t="shared" si="291"/>
        <v>42.637293404603938</v>
      </c>
      <c r="BK193" s="293">
        <f t="shared" si="291"/>
        <v>40.054030387295796</v>
      </c>
      <c r="BL193" s="293">
        <f t="shared" si="291"/>
        <v>37.627279364153573</v>
      </c>
      <c r="BM193" s="293">
        <f t="shared" si="291"/>
        <v>35.347557752817799</v>
      </c>
      <c r="BN193" s="293">
        <f t="shared" si="291"/>
        <v>33.205957491550791</v>
      </c>
      <c r="BO193" s="293">
        <f t="shared" si="291"/>
        <v>17.773868242268342</v>
      </c>
      <c r="BP193" s="293">
        <f t="shared" si="291"/>
        <v>5.0922985101708758</v>
      </c>
      <c r="BQ193" s="293">
        <f t="shared" si="291"/>
        <v>1.4589679502079553</v>
      </c>
      <c r="BR193" s="293">
        <f t="shared" si="291"/>
        <v>0.4180013161998582</v>
      </c>
      <c r="BS193" s="293">
        <f t="shared" si="291"/>
        <v>0.11975938218513246</v>
      </c>
      <c r="BT193" s="1091">
        <f t="shared" si="231"/>
        <v>52.714260000000003</v>
      </c>
      <c r="BU193" s="293">
        <f t="shared" ref="BU193:CJ193" si="292">$CH138+(($BU138-$CH138-$BY138-$BZ138-$CA138)*EXP(-$E$99*$E$88*BU$160))+($BY138*EXP(-$E$98*$E$88*BU$160))+($BZ138*EXP(-$E$98*$E$88*BU$160))+($CA138*EXP(-$E$98*$E$88*BU$160))</f>
        <v>54.259345089260584</v>
      </c>
      <c r="BV193" s="293">
        <f t="shared" si="292"/>
        <v>52.428897303277338</v>
      </c>
      <c r="BW193" s="293">
        <f t="shared" si="292"/>
        <v>49.25261985892255</v>
      </c>
      <c r="BX193" s="293">
        <f t="shared" si="292"/>
        <v>46.268554491267409</v>
      </c>
      <c r="BY193" s="293">
        <f t="shared" si="292"/>
        <v>43.465284486595131</v>
      </c>
      <c r="BZ193" s="293">
        <f t="shared" si="292"/>
        <v>40.831856025611387</v>
      </c>
      <c r="CA193" s="293">
        <f t="shared" si="292"/>
        <v>38.357978929378469</v>
      </c>
      <c r="CB193" s="293">
        <f t="shared" si="292"/>
        <v>36.033986469382192</v>
      </c>
      <c r="CC193" s="293">
        <f t="shared" si="292"/>
        <v>33.850797594581671</v>
      </c>
      <c r="CD193" s="293">
        <f t="shared" si="292"/>
        <v>31.799881447005006</v>
      </c>
      <c r="CE193" s="293">
        <f t="shared" si="292"/>
        <v>29.8732240272364</v>
      </c>
      <c r="CF193" s="293">
        <f t="shared" si="292"/>
        <v>15.989984567286378</v>
      </c>
      <c r="CG193" s="293">
        <f t="shared" si="292"/>
        <v>4.5812072802479582</v>
      </c>
      <c r="CH193" s="293">
        <f t="shared" si="292"/>
        <v>1.3125378612018652</v>
      </c>
      <c r="CI193" s="293">
        <f t="shared" si="292"/>
        <v>0.37604839329494877</v>
      </c>
      <c r="CJ193" s="1100">
        <f t="shared" si="292"/>
        <v>0.10773966853057018</v>
      </c>
    </row>
    <row r="194" spans="2:88" ht="17.5">
      <c r="B194" s="223"/>
      <c r="C194" s="223">
        <f t="shared" si="222"/>
        <v>0</v>
      </c>
      <c r="D194" s="295">
        <f t="shared" si="223"/>
        <v>61.141547999999993</v>
      </c>
      <c r="E194" s="293">
        <f t="shared" ref="E194:T194" si="293">$R139+(($E139-$R139-$I139-$J139-$K139)*EXP(-$E$99*$E$88*E$160))+($I139*EXP(-$E$98*$E$88*E$160))+($J139*EXP(-$E$98*$E$88*E$160))+($K139*EXP(-$E$98*$E$88*E$160))</f>
        <v>62.476160305498937</v>
      </c>
      <c r="F194" s="293">
        <f t="shared" si="293"/>
        <v>60.100376444754623</v>
      </c>
      <c r="G194" s="293">
        <f t="shared" si="293"/>
        <v>56.459288278855958</v>
      </c>
      <c r="H194" s="293">
        <f t="shared" si="293"/>
        <v>53.03859294279976</v>
      </c>
      <c r="I194" s="293">
        <f t="shared" si="293"/>
        <v>49.825147043714018</v>
      </c>
      <c r="J194" s="293">
        <f t="shared" si="293"/>
        <v>46.806393989467182</v>
      </c>
      <c r="K194" s="293">
        <f t="shared" si="293"/>
        <v>43.970537936899632</v>
      </c>
      <c r="L194" s="293">
        <f t="shared" si="293"/>
        <v>41.306497716859013</v>
      </c>
      <c r="M194" s="293">
        <f t="shared" si="293"/>
        <v>38.803863534292368</v>
      </c>
      <c r="N194" s="293">
        <f t="shared" si="293"/>
        <v>36.452856291745739</v>
      </c>
      <c r="O194" s="293">
        <f t="shared" si="293"/>
        <v>34.24428937732835</v>
      </c>
      <c r="P194" s="293">
        <f t="shared" si="293"/>
        <v>18.329647250726453</v>
      </c>
      <c r="Q194" s="293">
        <f t="shared" si="293"/>
        <v>5.2515318620883251</v>
      </c>
      <c r="R194" s="293">
        <f t="shared" si="293"/>
        <v>1.5045890693524313</v>
      </c>
      <c r="S194" s="293">
        <f t="shared" si="293"/>
        <v>0.4310719856728808</v>
      </c>
      <c r="T194" s="293">
        <f t="shared" si="293"/>
        <v>0.1235041916873275</v>
      </c>
      <c r="U194" s="1091">
        <f t="shared" si="225"/>
        <v>61.141547999999993</v>
      </c>
      <c r="V194" s="293">
        <f t="shared" ref="V194:AK194" si="294">$AI139+(($V139-$AI139-$Z139-$AA139-$AB139)*EXP(-$E$99*$E$88*V$160))+($Z139*EXP(-$E$98*$E$88*V$160))+($AA139*EXP(-$E$98*$E$88*V$160))+($AB139*EXP(-$E$98*$E$88*V$160))</f>
        <v>62.956515787710607</v>
      </c>
      <c r="W194" s="293">
        <f t="shared" si="294"/>
        <v>60.84607456517152</v>
      </c>
      <c r="X194" s="293">
        <f t="shared" si="294"/>
        <v>57.159865512751978</v>
      </c>
      <c r="Y194" s="293">
        <f t="shared" si="294"/>
        <v>53.696724352448811</v>
      </c>
      <c r="Z194" s="293">
        <f t="shared" si="294"/>
        <v>50.443404286986542</v>
      </c>
      <c r="AA194" s="293">
        <f t="shared" si="294"/>
        <v>47.387192919976442</v>
      </c>
      <c r="AB194" s="293">
        <f t="shared" si="294"/>
        <v>44.516148039088129</v>
      </c>
      <c r="AC194" s="293">
        <f t="shared" si="294"/>
        <v>41.81905097405788</v>
      </c>
      <c r="AD194" s="293">
        <f t="shared" si="294"/>
        <v>39.285362759492578</v>
      </c>
      <c r="AE194" s="293">
        <f t="shared" si="294"/>
        <v>36.905182953633386</v>
      </c>
      <c r="AF194" s="293">
        <f t="shared" si="294"/>
        <v>34.66921095216442</v>
      </c>
      <c r="AG194" s="293">
        <f t="shared" si="294"/>
        <v>18.557091379881747</v>
      </c>
      <c r="AH194" s="293">
        <f t="shared" si="294"/>
        <v>5.3166956961090053</v>
      </c>
      <c r="AI194" s="293">
        <f t="shared" si="294"/>
        <v>1.5232588203811572</v>
      </c>
      <c r="AJ194" s="293">
        <f t="shared" si="294"/>
        <v>0.43642095889879629</v>
      </c>
      <c r="AK194" s="293">
        <f t="shared" si="294"/>
        <v>0.12503669817482901</v>
      </c>
      <c r="AL194" s="1091">
        <f t="shared" si="227"/>
        <v>60.656366999999996</v>
      </c>
      <c r="AM194" s="293">
        <f t="shared" ref="AM194:BB194" si="295">$AZ139+(($AM139-$AZ139-$AQ139-$AR139-$AS139)*EXP(-$E$99*$E$88*AM$160))+($AQ139*EXP(-$E$98*$E$88*AM$160))+($AR139*EXP(-$E$98*$E$88*AM$160))+($AS139*EXP(-$E$98*$E$88*AM$160))</f>
        <v>62.547702566192342</v>
      </c>
      <c r="AN194" s="293">
        <f t="shared" si="295"/>
        <v>60.504148871912967</v>
      </c>
      <c r="AO194" s="293">
        <f t="shared" si="295"/>
        <v>56.83866500956173</v>
      </c>
      <c r="AP194" s="293">
        <f t="shared" si="295"/>
        <v>53.394984404674652</v>
      </c>
      <c r="AQ194" s="293">
        <f t="shared" si="295"/>
        <v>50.159945838474904</v>
      </c>
      <c r="AR194" s="293">
        <f t="shared" si="295"/>
        <v>47.12090835067977</v>
      </c>
      <c r="AS194" s="293">
        <f t="shared" si="295"/>
        <v>44.265996836265174</v>
      </c>
      <c r="AT194" s="293">
        <f t="shared" si="295"/>
        <v>41.58405566644749</v>
      </c>
      <c r="AU194" s="293">
        <f t="shared" si="295"/>
        <v>39.06460509782351</v>
      </c>
      <c r="AV194" s="293">
        <f t="shared" si="295"/>
        <v>36.697800322545305</v>
      </c>
      <c r="AW194" s="293">
        <f t="shared" si="295"/>
        <v>34.474392999519644</v>
      </c>
      <c r="AX194" s="293">
        <f t="shared" si="295"/>
        <v>18.452812844247962</v>
      </c>
      <c r="AY194" s="293">
        <f t="shared" si="295"/>
        <v>5.2868193954403688</v>
      </c>
      <c r="AZ194" s="293">
        <f t="shared" si="295"/>
        <v>1.5146991169271558</v>
      </c>
      <c r="BA194" s="293">
        <f t="shared" si="295"/>
        <v>0.43396856279952412</v>
      </c>
      <c r="BB194" s="293">
        <f t="shared" si="295"/>
        <v>0.12433407492858632</v>
      </c>
      <c r="BC194" s="1091">
        <f t="shared" si="229"/>
        <v>58.492722000000008</v>
      </c>
      <c r="BD194" s="293">
        <f t="shared" ref="BD194:BS194" si="296">$BQ139+(($BD139-$BQ139-$BH139-$BI139-$BJ139)*EXP(-$E$99*$E$88*BD$160))+($BH139*EXP(-$E$98*$E$88*BD$160))+($BI139*EXP(-$E$98*$E$88*BD$160))+($BJ139*EXP(-$E$98*$E$88*BD$160))</f>
        <v>60.272826415226412</v>
      </c>
      <c r="BE194" s="293">
        <f t="shared" si="296"/>
        <v>58.277991444872725</v>
      </c>
      <c r="BF194" s="293">
        <f t="shared" si="296"/>
        <v>54.747368408338367</v>
      </c>
      <c r="BG194" s="293">
        <f t="shared" si="296"/>
        <v>51.430393058069214</v>
      </c>
      <c r="BH194" s="293">
        <f t="shared" si="296"/>
        <v>48.31438306438335</v>
      </c>
      <c r="BI194" s="293">
        <f t="shared" si="296"/>
        <v>45.387162572455885</v>
      </c>
      <c r="BJ194" s="293">
        <f t="shared" si="296"/>
        <v>42.637293404603938</v>
      </c>
      <c r="BK194" s="293">
        <f t="shared" si="296"/>
        <v>40.054030387295796</v>
      </c>
      <c r="BL194" s="293">
        <f t="shared" si="296"/>
        <v>37.627279364153573</v>
      </c>
      <c r="BM194" s="293">
        <f t="shared" si="296"/>
        <v>35.347557752817799</v>
      </c>
      <c r="BN194" s="293">
        <f t="shared" si="296"/>
        <v>33.205957491550791</v>
      </c>
      <c r="BO194" s="293">
        <f t="shared" si="296"/>
        <v>17.773868242268342</v>
      </c>
      <c r="BP194" s="293">
        <f t="shared" si="296"/>
        <v>5.0922985101708758</v>
      </c>
      <c r="BQ194" s="293">
        <f t="shared" si="296"/>
        <v>1.4589679502079553</v>
      </c>
      <c r="BR194" s="293">
        <f t="shared" si="296"/>
        <v>0.4180013161998582</v>
      </c>
      <c r="BS194" s="293">
        <f t="shared" si="296"/>
        <v>0.11975938218513246</v>
      </c>
      <c r="BT194" s="1091">
        <f t="shared" si="231"/>
        <v>52.714260000000003</v>
      </c>
      <c r="BU194" s="293">
        <f t="shared" ref="BU194:CJ194" si="297">$CH139+(($BU139-$CH139-$BY139-$BZ139-$CA139)*EXP(-$E$99*$E$88*BU$160))+($BY139*EXP(-$E$98*$E$88*BU$160))+($BZ139*EXP(-$E$98*$E$88*BU$160))+($CA139*EXP(-$E$98*$E$88*BU$160))</f>
        <v>54.259345089260584</v>
      </c>
      <c r="BV194" s="293">
        <f t="shared" si="297"/>
        <v>52.428897303277338</v>
      </c>
      <c r="BW194" s="293">
        <f t="shared" si="297"/>
        <v>49.25261985892255</v>
      </c>
      <c r="BX194" s="293">
        <f t="shared" si="297"/>
        <v>46.268554491267409</v>
      </c>
      <c r="BY194" s="293">
        <f t="shared" si="297"/>
        <v>43.465284486595131</v>
      </c>
      <c r="BZ194" s="293">
        <f t="shared" si="297"/>
        <v>40.831856025611387</v>
      </c>
      <c r="CA194" s="293">
        <f t="shared" si="297"/>
        <v>38.357978929378469</v>
      </c>
      <c r="CB194" s="293">
        <f t="shared" si="297"/>
        <v>36.033986469382192</v>
      </c>
      <c r="CC194" s="293">
        <f t="shared" si="297"/>
        <v>33.850797594581671</v>
      </c>
      <c r="CD194" s="293">
        <f t="shared" si="297"/>
        <v>31.799881447005006</v>
      </c>
      <c r="CE194" s="293">
        <f t="shared" si="297"/>
        <v>29.8732240272364</v>
      </c>
      <c r="CF194" s="293">
        <f t="shared" si="297"/>
        <v>15.989984567286378</v>
      </c>
      <c r="CG194" s="293">
        <f t="shared" si="297"/>
        <v>4.5812072802479582</v>
      </c>
      <c r="CH194" s="293">
        <f t="shared" si="297"/>
        <v>1.3125378612018652</v>
      </c>
      <c r="CI194" s="293">
        <f t="shared" si="297"/>
        <v>0.37604839329494877</v>
      </c>
      <c r="CJ194" s="1100">
        <f t="shared" si="297"/>
        <v>0.10773966853057018</v>
      </c>
    </row>
    <row r="195" spans="2:88" ht="17.5">
      <c r="B195" s="223"/>
      <c r="C195" s="223">
        <f t="shared" si="222"/>
        <v>0</v>
      </c>
      <c r="D195" s="295">
        <f t="shared" si="223"/>
        <v>61.141547999999993</v>
      </c>
      <c r="E195" s="293">
        <f t="shared" ref="E195:T195" si="298">$R140+(($E140-$R140-$I140-$J140-$K140)*EXP(-$E$99*$E$88*E$160))+($I140*EXP(-$E$98*$E$88*E$160))+($J140*EXP(-$E$98*$E$88*E$160))+($K140*EXP(-$E$98*$E$88*E$160))</f>
        <v>62.476160305498937</v>
      </c>
      <c r="F195" s="293">
        <f t="shared" si="298"/>
        <v>60.100376444754623</v>
      </c>
      <c r="G195" s="293">
        <f t="shared" si="298"/>
        <v>56.459288278855958</v>
      </c>
      <c r="H195" s="293">
        <f t="shared" si="298"/>
        <v>53.03859294279976</v>
      </c>
      <c r="I195" s="293">
        <f t="shared" si="298"/>
        <v>49.825147043714018</v>
      </c>
      <c r="J195" s="293">
        <f t="shared" si="298"/>
        <v>46.806393989467182</v>
      </c>
      <c r="K195" s="293">
        <f t="shared" si="298"/>
        <v>43.970537936899632</v>
      </c>
      <c r="L195" s="293">
        <f t="shared" si="298"/>
        <v>41.306497716859013</v>
      </c>
      <c r="M195" s="293">
        <f t="shared" si="298"/>
        <v>38.803863534292368</v>
      </c>
      <c r="N195" s="293">
        <f t="shared" si="298"/>
        <v>36.452856291745739</v>
      </c>
      <c r="O195" s="293">
        <f t="shared" si="298"/>
        <v>34.24428937732835</v>
      </c>
      <c r="P195" s="293">
        <f t="shared" si="298"/>
        <v>18.329647250726453</v>
      </c>
      <c r="Q195" s="293">
        <f t="shared" si="298"/>
        <v>5.2515318620883251</v>
      </c>
      <c r="R195" s="293">
        <f t="shared" si="298"/>
        <v>1.5045890693524313</v>
      </c>
      <c r="S195" s="293">
        <f t="shared" si="298"/>
        <v>0.4310719856728808</v>
      </c>
      <c r="T195" s="293">
        <f t="shared" si="298"/>
        <v>0.1235041916873275</v>
      </c>
      <c r="U195" s="1091">
        <f t="shared" si="225"/>
        <v>61.141547999999993</v>
      </c>
      <c r="V195" s="293">
        <f t="shared" ref="V195:AK195" si="299">$AI140+(($V140-$AI140-$Z140-$AA140-$AB140)*EXP(-$E$99*$E$88*V$160))+($Z140*EXP(-$E$98*$E$88*V$160))+($AA140*EXP(-$E$98*$E$88*V$160))+($AB140*EXP(-$E$98*$E$88*V$160))</f>
        <v>62.956515787710607</v>
      </c>
      <c r="W195" s="293">
        <f t="shared" si="299"/>
        <v>60.84607456517152</v>
      </c>
      <c r="X195" s="293">
        <f t="shared" si="299"/>
        <v>57.159865512751978</v>
      </c>
      <c r="Y195" s="293">
        <f t="shared" si="299"/>
        <v>53.696724352448811</v>
      </c>
      <c r="Z195" s="293">
        <f t="shared" si="299"/>
        <v>50.443404286986542</v>
      </c>
      <c r="AA195" s="293">
        <f t="shared" si="299"/>
        <v>47.387192919976442</v>
      </c>
      <c r="AB195" s="293">
        <f t="shared" si="299"/>
        <v>44.516148039088129</v>
      </c>
      <c r="AC195" s="293">
        <f t="shared" si="299"/>
        <v>41.81905097405788</v>
      </c>
      <c r="AD195" s="293">
        <f t="shared" si="299"/>
        <v>39.285362759492578</v>
      </c>
      <c r="AE195" s="293">
        <f t="shared" si="299"/>
        <v>36.905182953633386</v>
      </c>
      <c r="AF195" s="293">
        <f t="shared" si="299"/>
        <v>34.66921095216442</v>
      </c>
      <c r="AG195" s="293">
        <f t="shared" si="299"/>
        <v>18.557091379881747</v>
      </c>
      <c r="AH195" s="293">
        <f t="shared" si="299"/>
        <v>5.3166956961090053</v>
      </c>
      <c r="AI195" s="293">
        <f t="shared" si="299"/>
        <v>1.5232588203811572</v>
      </c>
      <c r="AJ195" s="293">
        <f t="shared" si="299"/>
        <v>0.43642095889879629</v>
      </c>
      <c r="AK195" s="293">
        <f t="shared" si="299"/>
        <v>0.12503669817482901</v>
      </c>
      <c r="AL195" s="1091">
        <f t="shared" si="227"/>
        <v>60.656366999999996</v>
      </c>
      <c r="AM195" s="293">
        <f t="shared" ref="AM195:BB195" si="300">$AZ140+(($AM140-$AZ140-$AQ140-$AR140-$AS140)*EXP(-$E$99*$E$88*AM$160))+($AQ140*EXP(-$E$98*$E$88*AM$160))+($AR140*EXP(-$E$98*$E$88*AM$160))+($AS140*EXP(-$E$98*$E$88*AM$160))</f>
        <v>62.547702566192342</v>
      </c>
      <c r="AN195" s="293">
        <f t="shared" si="300"/>
        <v>60.504148871912967</v>
      </c>
      <c r="AO195" s="293">
        <f t="shared" si="300"/>
        <v>56.83866500956173</v>
      </c>
      <c r="AP195" s="293">
        <f t="shared" si="300"/>
        <v>53.394984404674652</v>
      </c>
      <c r="AQ195" s="293">
        <f t="shared" si="300"/>
        <v>50.159945838474904</v>
      </c>
      <c r="AR195" s="293">
        <f t="shared" si="300"/>
        <v>47.12090835067977</v>
      </c>
      <c r="AS195" s="293">
        <f t="shared" si="300"/>
        <v>44.265996836265174</v>
      </c>
      <c r="AT195" s="293">
        <f t="shared" si="300"/>
        <v>41.58405566644749</v>
      </c>
      <c r="AU195" s="293">
        <f t="shared" si="300"/>
        <v>39.06460509782351</v>
      </c>
      <c r="AV195" s="293">
        <f t="shared" si="300"/>
        <v>36.697800322545305</v>
      </c>
      <c r="AW195" s="293">
        <f t="shared" si="300"/>
        <v>34.474392999519644</v>
      </c>
      <c r="AX195" s="293">
        <f t="shared" si="300"/>
        <v>18.452812844247962</v>
      </c>
      <c r="AY195" s="293">
        <f t="shared" si="300"/>
        <v>5.2868193954403688</v>
      </c>
      <c r="AZ195" s="293">
        <f t="shared" si="300"/>
        <v>1.5146991169271558</v>
      </c>
      <c r="BA195" s="293">
        <f t="shared" si="300"/>
        <v>0.43396856279952412</v>
      </c>
      <c r="BB195" s="293">
        <f t="shared" si="300"/>
        <v>0.12433407492858632</v>
      </c>
      <c r="BC195" s="1091">
        <f t="shared" si="229"/>
        <v>58.492722000000008</v>
      </c>
      <c r="BD195" s="293">
        <f t="shared" ref="BD195:BS195" si="301">$BQ140+(($BD140-$BQ140-$BH140-$BI140-$BJ140)*EXP(-$E$99*$E$88*BD$160))+($BH140*EXP(-$E$98*$E$88*BD$160))+($BI140*EXP(-$E$98*$E$88*BD$160))+($BJ140*EXP(-$E$98*$E$88*BD$160))</f>
        <v>60.272826415226412</v>
      </c>
      <c r="BE195" s="293">
        <f t="shared" si="301"/>
        <v>58.277991444872725</v>
      </c>
      <c r="BF195" s="293">
        <f t="shared" si="301"/>
        <v>54.747368408338367</v>
      </c>
      <c r="BG195" s="293">
        <f t="shared" si="301"/>
        <v>51.430393058069214</v>
      </c>
      <c r="BH195" s="293">
        <f t="shared" si="301"/>
        <v>48.31438306438335</v>
      </c>
      <c r="BI195" s="293">
        <f t="shared" si="301"/>
        <v>45.387162572455885</v>
      </c>
      <c r="BJ195" s="293">
        <f t="shared" si="301"/>
        <v>42.637293404603938</v>
      </c>
      <c r="BK195" s="293">
        <f t="shared" si="301"/>
        <v>40.054030387295796</v>
      </c>
      <c r="BL195" s="293">
        <f t="shared" si="301"/>
        <v>37.627279364153573</v>
      </c>
      <c r="BM195" s="293">
        <f t="shared" si="301"/>
        <v>35.347557752817799</v>
      </c>
      <c r="BN195" s="293">
        <f t="shared" si="301"/>
        <v>33.205957491550791</v>
      </c>
      <c r="BO195" s="293">
        <f t="shared" si="301"/>
        <v>17.773868242268342</v>
      </c>
      <c r="BP195" s="293">
        <f t="shared" si="301"/>
        <v>5.0922985101708758</v>
      </c>
      <c r="BQ195" s="293">
        <f t="shared" si="301"/>
        <v>1.4589679502079553</v>
      </c>
      <c r="BR195" s="293">
        <f t="shared" si="301"/>
        <v>0.4180013161998582</v>
      </c>
      <c r="BS195" s="293">
        <f t="shared" si="301"/>
        <v>0.11975938218513246</v>
      </c>
      <c r="BT195" s="1091">
        <f t="shared" si="231"/>
        <v>52.714260000000003</v>
      </c>
      <c r="BU195" s="293">
        <f t="shared" ref="BU195:CJ195" si="302">$CH140+(($BU140-$CH140-$BY140-$BZ140-$CA140)*EXP(-$E$99*$E$88*BU$160))+($BY140*EXP(-$E$98*$E$88*BU$160))+($BZ140*EXP(-$E$98*$E$88*BU$160))+($CA140*EXP(-$E$98*$E$88*BU$160))</f>
        <v>54.259345089260584</v>
      </c>
      <c r="BV195" s="293">
        <f t="shared" si="302"/>
        <v>52.428897303277338</v>
      </c>
      <c r="BW195" s="293">
        <f t="shared" si="302"/>
        <v>49.25261985892255</v>
      </c>
      <c r="BX195" s="293">
        <f t="shared" si="302"/>
        <v>46.268554491267409</v>
      </c>
      <c r="BY195" s="293">
        <f t="shared" si="302"/>
        <v>43.465284486595131</v>
      </c>
      <c r="BZ195" s="293">
        <f t="shared" si="302"/>
        <v>40.831856025611387</v>
      </c>
      <c r="CA195" s="293">
        <f t="shared" si="302"/>
        <v>38.357978929378469</v>
      </c>
      <c r="CB195" s="293">
        <f t="shared" si="302"/>
        <v>36.033986469382192</v>
      </c>
      <c r="CC195" s="293">
        <f t="shared" si="302"/>
        <v>33.850797594581671</v>
      </c>
      <c r="CD195" s="293">
        <f t="shared" si="302"/>
        <v>31.799881447005006</v>
      </c>
      <c r="CE195" s="293">
        <f t="shared" si="302"/>
        <v>29.8732240272364</v>
      </c>
      <c r="CF195" s="293">
        <f t="shared" si="302"/>
        <v>15.989984567286378</v>
      </c>
      <c r="CG195" s="293">
        <f t="shared" si="302"/>
        <v>4.5812072802479582</v>
      </c>
      <c r="CH195" s="293">
        <f t="shared" si="302"/>
        <v>1.3125378612018652</v>
      </c>
      <c r="CI195" s="293">
        <f t="shared" si="302"/>
        <v>0.37604839329494877</v>
      </c>
      <c r="CJ195" s="1100">
        <f t="shared" si="302"/>
        <v>0.10773966853057018</v>
      </c>
    </row>
    <row r="196" spans="2:88" ht="17.5">
      <c r="B196" s="223"/>
      <c r="C196" s="223">
        <f t="shared" si="222"/>
        <v>0</v>
      </c>
      <c r="D196" s="295">
        <f t="shared" si="223"/>
        <v>61.141547999999993</v>
      </c>
      <c r="E196" s="293">
        <f t="shared" ref="E196:T196" si="303">$R141+(($E141-$R141-$I141-$J141-$K141)*EXP(-$E$99*$E$88*E$160))+($I141*EXP(-$E$98*$E$88*E$160))+($J141*EXP(-$E$98*$E$88*E$160))+($K141*EXP(-$E$98*$E$88*E$160))</f>
        <v>62.476160305498937</v>
      </c>
      <c r="F196" s="293">
        <f t="shared" si="303"/>
        <v>60.100376444754623</v>
      </c>
      <c r="G196" s="293">
        <f t="shared" si="303"/>
        <v>56.459288278855958</v>
      </c>
      <c r="H196" s="293">
        <f t="shared" si="303"/>
        <v>53.03859294279976</v>
      </c>
      <c r="I196" s="293">
        <f t="shared" si="303"/>
        <v>49.825147043714018</v>
      </c>
      <c r="J196" s="293">
        <f t="shared" si="303"/>
        <v>46.806393989467182</v>
      </c>
      <c r="K196" s="293">
        <f t="shared" si="303"/>
        <v>43.970537936899632</v>
      </c>
      <c r="L196" s="293">
        <f t="shared" si="303"/>
        <v>41.306497716859013</v>
      </c>
      <c r="M196" s="293">
        <f t="shared" si="303"/>
        <v>38.803863534292368</v>
      </c>
      <c r="N196" s="293">
        <f t="shared" si="303"/>
        <v>36.452856291745739</v>
      </c>
      <c r="O196" s="293">
        <f t="shared" si="303"/>
        <v>34.24428937732835</v>
      </c>
      <c r="P196" s="293">
        <f t="shared" si="303"/>
        <v>18.329647250726453</v>
      </c>
      <c r="Q196" s="293">
        <f t="shared" si="303"/>
        <v>5.2515318620883251</v>
      </c>
      <c r="R196" s="293">
        <f t="shared" si="303"/>
        <v>1.5045890693524313</v>
      </c>
      <c r="S196" s="293">
        <f t="shared" si="303"/>
        <v>0.4310719856728808</v>
      </c>
      <c r="T196" s="293">
        <f t="shared" si="303"/>
        <v>0.1235041916873275</v>
      </c>
      <c r="U196" s="1091">
        <f t="shared" si="225"/>
        <v>61.141547999999993</v>
      </c>
      <c r="V196" s="293">
        <f t="shared" ref="V196:AK196" si="304">$AI141+(($V141-$AI141-$Z141-$AA141-$AB141)*EXP(-$E$99*$E$88*V$160))+($Z141*EXP(-$E$98*$E$88*V$160))+($AA141*EXP(-$E$98*$E$88*V$160))+($AB141*EXP(-$E$98*$E$88*V$160))</f>
        <v>62.956515787710607</v>
      </c>
      <c r="W196" s="293">
        <f t="shared" si="304"/>
        <v>60.84607456517152</v>
      </c>
      <c r="X196" s="293">
        <f t="shared" si="304"/>
        <v>57.159865512751978</v>
      </c>
      <c r="Y196" s="293">
        <f t="shared" si="304"/>
        <v>53.696724352448811</v>
      </c>
      <c r="Z196" s="293">
        <f t="shared" si="304"/>
        <v>50.443404286986542</v>
      </c>
      <c r="AA196" s="293">
        <f t="shared" si="304"/>
        <v>47.387192919976442</v>
      </c>
      <c r="AB196" s="293">
        <f t="shared" si="304"/>
        <v>44.516148039088129</v>
      </c>
      <c r="AC196" s="293">
        <f t="shared" si="304"/>
        <v>41.81905097405788</v>
      </c>
      <c r="AD196" s="293">
        <f t="shared" si="304"/>
        <v>39.285362759492578</v>
      </c>
      <c r="AE196" s="293">
        <f t="shared" si="304"/>
        <v>36.905182953633386</v>
      </c>
      <c r="AF196" s="293">
        <f t="shared" si="304"/>
        <v>34.66921095216442</v>
      </c>
      <c r="AG196" s="293">
        <f t="shared" si="304"/>
        <v>18.557091379881747</v>
      </c>
      <c r="AH196" s="293">
        <f t="shared" si="304"/>
        <v>5.3166956961090053</v>
      </c>
      <c r="AI196" s="293">
        <f t="shared" si="304"/>
        <v>1.5232588203811572</v>
      </c>
      <c r="AJ196" s="293">
        <f t="shared" si="304"/>
        <v>0.43642095889879629</v>
      </c>
      <c r="AK196" s="293">
        <f t="shared" si="304"/>
        <v>0.12503669817482901</v>
      </c>
      <c r="AL196" s="1091">
        <f t="shared" si="227"/>
        <v>60.656366999999996</v>
      </c>
      <c r="AM196" s="293">
        <f t="shared" ref="AM196:BB196" si="305">$AZ141+(($AM141-$AZ141-$AQ141-$AR141-$AS141)*EXP(-$E$99*$E$88*AM$160))+($AQ141*EXP(-$E$98*$E$88*AM$160))+($AR141*EXP(-$E$98*$E$88*AM$160))+($AS141*EXP(-$E$98*$E$88*AM$160))</f>
        <v>62.547702566192342</v>
      </c>
      <c r="AN196" s="293">
        <f t="shared" si="305"/>
        <v>60.504148871912967</v>
      </c>
      <c r="AO196" s="293">
        <f t="shared" si="305"/>
        <v>56.83866500956173</v>
      </c>
      <c r="AP196" s="293">
        <f t="shared" si="305"/>
        <v>53.394984404674652</v>
      </c>
      <c r="AQ196" s="293">
        <f t="shared" si="305"/>
        <v>50.159945838474904</v>
      </c>
      <c r="AR196" s="293">
        <f t="shared" si="305"/>
        <v>47.12090835067977</v>
      </c>
      <c r="AS196" s="293">
        <f t="shared" si="305"/>
        <v>44.265996836265174</v>
      </c>
      <c r="AT196" s="293">
        <f t="shared" si="305"/>
        <v>41.58405566644749</v>
      </c>
      <c r="AU196" s="293">
        <f t="shared" si="305"/>
        <v>39.06460509782351</v>
      </c>
      <c r="AV196" s="293">
        <f t="shared" si="305"/>
        <v>36.697800322545305</v>
      </c>
      <c r="AW196" s="293">
        <f t="shared" si="305"/>
        <v>34.474392999519644</v>
      </c>
      <c r="AX196" s="293">
        <f t="shared" si="305"/>
        <v>18.452812844247962</v>
      </c>
      <c r="AY196" s="293">
        <f t="shared" si="305"/>
        <v>5.2868193954403688</v>
      </c>
      <c r="AZ196" s="293">
        <f t="shared" si="305"/>
        <v>1.5146991169271558</v>
      </c>
      <c r="BA196" s="293">
        <f t="shared" si="305"/>
        <v>0.43396856279952412</v>
      </c>
      <c r="BB196" s="293">
        <f t="shared" si="305"/>
        <v>0.12433407492858632</v>
      </c>
      <c r="BC196" s="1091">
        <f t="shared" si="229"/>
        <v>58.492722000000008</v>
      </c>
      <c r="BD196" s="293">
        <f t="shared" ref="BD196:BS196" si="306">$BQ141+(($BD141-$BQ141-$BH141-$BI141-$BJ141)*EXP(-$E$99*$E$88*BD$160))+($BH141*EXP(-$E$98*$E$88*BD$160))+($BI141*EXP(-$E$98*$E$88*BD$160))+($BJ141*EXP(-$E$98*$E$88*BD$160))</f>
        <v>60.272826415226412</v>
      </c>
      <c r="BE196" s="293">
        <f t="shared" si="306"/>
        <v>58.277991444872725</v>
      </c>
      <c r="BF196" s="293">
        <f t="shared" si="306"/>
        <v>54.747368408338367</v>
      </c>
      <c r="BG196" s="293">
        <f t="shared" si="306"/>
        <v>51.430393058069214</v>
      </c>
      <c r="BH196" s="293">
        <f t="shared" si="306"/>
        <v>48.31438306438335</v>
      </c>
      <c r="BI196" s="293">
        <f t="shared" si="306"/>
        <v>45.387162572455885</v>
      </c>
      <c r="BJ196" s="293">
        <f t="shared" si="306"/>
        <v>42.637293404603938</v>
      </c>
      <c r="BK196" s="293">
        <f t="shared" si="306"/>
        <v>40.054030387295796</v>
      </c>
      <c r="BL196" s="293">
        <f t="shared" si="306"/>
        <v>37.627279364153573</v>
      </c>
      <c r="BM196" s="293">
        <f t="shared" si="306"/>
        <v>35.347557752817799</v>
      </c>
      <c r="BN196" s="293">
        <f t="shared" si="306"/>
        <v>33.205957491550791</v>
      </c>
      <c r="BO196" s="293">
        <f t="shared" si="306"/>
        <v>17.773868242268342</v>
      </c>
      <c r="BP196" s="293">
        <f t="shared" si="306"/>
        <v>5.0922985101708758</v>
      </c>
      <c r="BQ196" s="293">
        <f t="shared" si="306"/>
        <v>1.4589679502079553</v>
      </c>
      <c r="BR196" s="293">
        <f t="shared" si="306"/>
        <v>0.4180013161998582</v>
      </c>
      <c r="BS196" s="293">
        <f t="shared" si="306"/>
        <v>0.11975938218513246</v>
      </c>
      <c r="BT196" s="1091">
        <f t="shared" si="231"/>
        <v>52.714260000000003</v>
      </c>
      <c r="BU196" s="293">
        <f t="shared" ref="BU196:CJ196" si="307">$CH141+(($BU141-$CH141-$BY141-$BZ141-$CA141)*EXP(-$E$99*$E$88*BU$160))+($BY141*EXP(-$E$98*$E$88*BU$160))+($BZ141*EXP(-$E$98*$E$88*BU$160))+($CA141*EXP(-$E$98*$E$88*BU$160))</f>
        <v>54.259345089260584</v>
      </c>
      <c r="BV196" s="293">
        <f t="shared" si="307"/>
        <v>52.428897303277338</v>
      </c>
      <c r="BW196" s="293">
        <f t="shared" si="307"/>
        <v>49.25261985892255</v>
      </c>
      <c r="BX196" s="293">
        <f t="shared" si="307"/>
        <v>46.268554491267409</v>
      </c>
      <c r="BY196" s="293">
        <f t="shared" si="307"/>
        <v>43.465284486595131</v>
      </c>
      <c r="BZ196" s="293">
        <f t="shared" si="307"/>
        <v>40.831856025611387</v>
      </c>
      <c r="CA196" s="293">
        <f t="shared" si="307"/>
        <v>38.357978929378469</v>
      </c>
      <c r="CB196" s="293">
        <f t="shared" si="307"/>
        <v>36.033986469382192</v>
      </c>
      <c r="CC196" s="293">
        <f t="shared" si="307"/>
        <v>33.850797594581671</v>
      </c>
      <c r="CD196" s="293">
        <f t="shared" si="307"/>
        <v>31.799881447005006</v>
      </c>
      <c r="CE196" s="293">
        <f t="shared" si="307"/>
        <v>29.8732240272364</v>
      </c>
      <c r="CF196" s="293">
        <f t="shared" si="307"/>
        <v>15.989984567286378</v>
      </c>
      <c r="CG196" s="293">
        <f t="shared" si="307"/>
        <v>4.5812072802479582</v>
      </c>
      <c r="CH196" s="293">
        <f t="shared" si="307"/>
        <v>1.3125378612018652</v>
      </c>
      <c r="CI196" s="293">
        <f t="shared" si="307"/>
        <v>0.37604839329494877</v>
      </c>
      <c r="CJ196" s="1100">
        <f t="shared" si="307"/>
        <v>0.10773966853057018</v>
      </c>
    </row>
    <row r="197" spans="2:88" ht="17.5">
      <c r="B197" s="1101"/>
      <c r="C197" s="1103">
        <f t="shared" si="222"/>
        <v>0</v>
      </c>
      <c r="D197" s="295">
        <f t="shared" si="223"/>
        <v>61.141547999999993</v>
      </c>
      <c r="E197" s="293">
        <f t="shared" ref="E197:T197" si="308">$R142+(($E142-$R142-$I142-$J142-$K142)*EXP(-$E$99*$E$88*E$160))+($I142*EXP(-$E$98*$E$88*E$160))+($J142*EXP(-$E$98*$E$88*E$160))+($K142*EXP(-$E$98*$E$88*E$160))</f>
        <v>62.476160305498937</v>
      </c>
      <c r="F197" s="293">
        <f t="shared" si="308"/>
        <v>60.100376444754623</v>
      </c>
      <c r="G197" s="293">
        <f t="shared" si="308"/>
        <v>56.459288278855958</v>
      </c>
      <c r="H197" s="293">
        <f t="shared" si="308"/>
        <v>53.03859294279976</v>
      </c>
      <c r="I197" s="293">
        <f t="shared" si="308"/>
        <v>49.825147043714018</v>
      </c>
      <c r="J197" s="293">
        <f t="shared" si="308"/>
        <v>46.806393989467182</v>
      </c>
      <c r="K197" s="293">
        <f t="shared" si="308"/>
        <v>43.970537936899632</v>
      </c>
      <c r="L197" s="293">
        <f t="shared" si="308"/>
        <v>41.306497716859013</v>
      </c>
      <c r="M197" s="293">
        <f t="shared" si="308"/>
        <v>38.803863534292368</v>
      </c>
      <c r="N197" s="293">
        <f t="shared" si="308"/>
        <v>36.452856291745739</v>
      </c>
      <c r="O197" s="293">
        <f t="shared" si="308"/>
        <v>34.24428937732835</v>
      </c>
      <c r="P197" s="293">
        <f t="shared" si="308"/>
        <v>18.329647250726453</v>
      </c>
      <c r="Q197" s="293">
        <f t="shared" si="308"/>
        <v>5.2515318620883251</v>
      </c>
      <c r="R197" s="293">
        <f t="shared" si="308"/>
        <v>1.5045890693524313</v>
      </c>
      <c r="S197" s="293">
        <f t="shared" si="308"/>
        <v>0.4310719856728808</v>
      </c>
      <c r="T197" s="293">
        <f t="shared" si="308"/>
        <v>0.1235041916873275</v>
      </c>
      <c r="U197" s="1091">
        <f t="shared" si="225"/>
        <v>61.141547999999993</v>
      </c>
      <c r="V197" s="293">
        <f t="shared" ref="V197:AK197" si="309">$AI142+(($V142-$AI142-$Z142-$AA142-$AB142)*EXP(-$E$99*$E$88*V$160))+($Z142*EXP(-$E$98*$E$88*V$160))+($AA142*EXP(-$E$98*$E$88*V$160))+($AB142*EXP(-$E$98*$E$88*V$160))</f>
        <v>62.956515787710607</v>
      </c>
      <c r="W197" s="293">
        <f t="shared" si="309"/>
        <v>60.84607456517152</v>
      </c>
      <c r="X197" s="293">
        <f t="shared" si="309"/>
        <v>57.159865512751978</v>
      </c>
      <c r="Y197" s="293">
        <f t="shared" si="309"/>
        <v>53.696724352448811</v>
      </c>
      <c r="Z197" s="293">
        <f t="shared" si="309"/>
        <v>50.443404286986542</v>
      </c>
      <c r="AA197" s="293">
        <f t="shared" si="309"/>
        <v>47.387192919976442</v>
      </c>
      <c r="AB197" s="293">
        <f t="shared" si="309"/>
        <v>44.516148039088129</v>
      </c>
      <c r="AC197" s="293">
        <f t="shared" si="309"/>
        <v>41.81905097405788</v>
      </c>
      <c r="AD197" s="293">
        <f t="shared" si="309"/>
        <v>39.285362759492578</v>
      </c>
      <c r="AE197" s="293">
        <f t="shared" si="309"/>
        <v>36.905182953633386</v>
      </c>
      <c r="AF197" s="293">
        <f t="shared" si="309"/>
        <v>34.66921095216442</v>
      </c>
      <c r="AG197" s="293">
        <f t="shared" si="309"/>
        <v>18.557091379881747</v>
      </c>
      <c r="AH197" s="293">
        <f t="shared" si="309"/>
        <v>5.3166956961090053</v>
      </c>
      <c r="AI197" s="293">
        <f t="shared" si="309"/>
        <v>1.5232588203811572</v>
      </c>
      <c r="AJ197" s="293">
        <f t="shared" si="309"/>
        <v>0.43642095889879629</v>
      </c>
      <c r="AK197" s="293">
        <f t="shared" si="309"/>
        <v>0.12503669817482901</v>
      </c>
      <c r="AL197" s="1091">
        <f t="shared" si="227"/>
        <v>60.656366999999996</v>
      </c>
      <c r="AM197" s="293">
        <f t="shared" ref="AM197:BB197" si="310">$AZ142+(($AM142-$AZ142-$AQ142-$AR142-$AS142)*EXP(-$E$99*$E$88*AM$160))+($AQ142*EXP(-$E$98*$E$88*AM$160))+($AR142*EXP(-$E$98*$E$88*AM$160))+($AS142*EXP(-$E$98*$E$88*AM$160))</f>
        <v>62.547702566192342</v>
      </c>
      <c r="AN197" s="293">
        <f t="shared" si="310"/>
        <v>60.504148871912967</v>
      </c>
      <c r="AO197" s="293">
        <f t="shared" si="310"/>
        <v>56.83866500956173</v>
      </c>
      <c r="AP197" s="293">
        <f t="shared" si="310"/>
        <v>53.394984404674652</v>
      </c>
      <c r="AQ197" s="293">
        <f t="shared" si="310"/>
        <v>50.159945838474904</v>
      </c>
      <c r="AR197" s="293">
        <f t="shared" si="310"/>
        <v>47.12090835067977</v>
      </c>
      <c r="AS197" s="293">
        <f t="shared" si="310"/>
        <v>44.265996836265174</v>
      </c>
      <c r="AT197" s="293">
        <f t="shared" si="310"/>
        <v>41.58405566644749</v>
      </c>
      <c r="AU197" s="293">
        <f t="shared" si="310"/>
        <v>39.06460509782351</v>
      </c>
      <c r="AV197" s="293">
        <f t="shared" si="310"/>
        <v>36.697800322545305</v>
      </c>
      <c r="AW197" s="293">
        <f t="shared" si="310"/>
        <v>34.474392999519644</v>
      </c>
      <c r="AX197" s="293">
        <f t="shared" si="310"/>
        <v>18.452812844247962</v>
      </c>
      <c r="AY197" s="293">
        <f t="shared" si="310"/>
        <v>5.2868193954403688</v>
      </c>
      <c r="AZ197" s="293">
        <f t="shared" si="310"/>
        <v>1.5146991169271558</v>
      </c>
      <c r="BA197" s="293">
        <f t="shared" si="310"/>
        <v>0.43396856279952412</v>
      </c>
      <c r="BB197" s="293">
        <f t="shared" si="310"/>
        <v>0.12433407492858632</v>
      </c>
      <c r="BC197" s="1091">
        <f t="shared" si="229"/>
        <v>58.492722000000008</v>
      </c>
      <c r="BD197" s="293">
        <f t="shared" ref="BD197:BS197" si="311">$BQ142+(($BD142-$BQ142-$BH142-$BI142-$BJ142)*EXP(-$E$99*$E$88*BD$160))+($BH142*EXP(-$E$98*$E$88*BD$160))+($BI142*EXP(-$E$98*$E$88*BD$160))+($BJ142*EXP(-$E$98*$E$88*BD$160))</f>
        <v>60.272826415226412</v>
      </c>
      <c r="BE197" s="293">
        <f t="shared" si="311"/>
        <v>58.277991444872725</v>
      </c>
      <c r="BF197" s="293">
        <f t="shared" si="311"/>
        <v>54.747368408338367</v>
      </c>
      <c r="BG197" s="293">
        <f t="shared" si="311"/>
        <v>51.430393058069214</v>
      </c>
      <c r="BH197" s="293">
        <f t="shared" si="311"/>
        <v>48.31438306438335</v>
      </c>
      <c r="BI197" s="293">
        <f t="shared" si="311"/>
        <v>45.387162572455885</v>
      </c>
      <c r="BJ197" s="293">
        <f t="shared" si="311"/>
        <v>42.637293404603938</v>
      </c>
      <c r="BK197" s="293">
        <f t="shared" si="311"/>
        <v>40.054030387295796</v>
      </c>
      <c r="BL197" s="293">
        <f t="shared" si="311"/>
        <v>37.627279364153573</v>
      </c>
      <c r="BM197" s="293">
        <f t="shared" si="311"/>
        <v>35.347557752817799</v>
      </c>
      <c r="BN197" s="293">
        <f t="shared" si="311"/>
        <v>33.205957491550791</v>
      </c>
      <c r="BO197" s="293">
        <f t="shared" si="311"/>
        <v>17.773868242268342</v>
      </c>
      <c r="BP197" s="293">
        <f t="shared" si="311"/>
        <v>5.0922985101708758</v>
      </c>
      <c r="BQ197" s="293">
        <f t="shared" si="311"/>
        <v>1.4589679502079553</v>
      </c>
      <c r="BR197" s="293">
        <f t="shared" si="311"/>
        <v>0.4180013161998582</v>
      </c>
      <c r="BS197" s="293">
        <f t="shared" si="311"/>
        <v>0.11975938218513246</v>
      </c>
      <c r="BT197" s="1091">
        <f t="shared" si="231"/>
        <v>52.714260000000003</v>
      </c>
      <c r="BU197" s="293">
        <f t="shared" ref="BU197:CJ197" si="312">$CH142+(($BU142-$CH142-$BY142-$BZ142-$CA142)*EXP(-$E$99*$E$88*BU$160))+($BY142*EXP(-$E$98*$E$88*BU$160))+($BZ142*EXP(-$E$98*$E$88*BU$160))+($CA142*EXP(-$E$98*$E$88*BU$160))</f>
        <v>54.259345089260584</v>
      </c>
      <c r="BV197" s="293">
        <f t="shared" si="312"/>
        <v>52.428897303277338</v>
      </c>
      <c r="BW197" s="293">
        <f t="shared" si="312"/>
        <v>49.25261985892255</v>
      </c>
      <c r="BX197" s="293">
        <f t="shared" si="312"/>
        <v>46.268554491267409</v>
      </c>
      <c r="BY197" s="293">
        <f t="shared" si="312"/>
        <v>43.465284486595131</v>
      </c>
      <c r="BZ197" s="293">
        <f t="shared" si="312"/>
        <v>40.831856025611387</v>
      </c>
      <c r="CA197" s="293">
        <f t="shared" si="312"/>
        <v>38.357978929378469</v>
      </c>
      <c r="CB197" s="293">
        <f t="shared" si="312"/>
        <v>36.033986469382192</v>
      </c>
      <c r="CC197" s="293">
        <f t="shared" si="312"/>
        <v>33.850797594581671</v>
      </c>
      <c r="CD197" s="293">
        <f t="shared" si="312"/>
        <v>31.799881447005006</v>
      </c>
      <c r="CE197" s="293">
        <f t="shared" si="312"/>
        <v>29.8732240272364</v>
      </c>
      <c r="CF197" s="293">
        <f t="shared" si="312"/>
        <v>15.989984567286378</v>
      </c>
      <c r="CG197" s="293">
        <f t="shared" si="312"/>
        <v>4.5812072802479582</v>
      </c>
      <c r="CH197" s="293">
        <f t="shared" si="312"/>
        <v>1.3125378612018652</v>
      </c>
      <c r="CI197" s="293">
        <f t="shared" si="312"/>
        <v>0.37604839329494877</v>
      </c>
      <c r="CJ197" s="1100">
        <f t="shared" si="312"/>
        <v>0.10773966853057018</v>
      </c>
    </row>
    <row r="198" spans="2:88" ht="17.5">
      <c r="B198" s="258"/>
      <c r="C198" s="223">
        <f t="shared" si="222"/>
        <v>0</v>
      </c>
      <c r="D198" s="295">
        <f t="shared" si="223"/>
        <v>119.04</v>
      </c>
      <c r="E198" s="293">
        <f t="shared" ref="E198:T198" si="313">$R143+(($E143-$R143-$I143-$J143-$K143)*EXP(-$E$99*$E$88*E$160))+($I143*EXP(-$E$98*$E$88*E$160))+($J143*EXP(-$E$98*$E$88*E$160))+($K143*EXP(-$E$98*$E$88*E$160))</f>
        <v>121.63843353731565</v>
      </c>
      <c r="F198" s="293">
        <f t="shared" si="313"/>
        <v>117.01288315408027</v>
      </c>
      <c r="G198" s="293">
        <f t="shared" si="313"/>
        <v>109.923838969779</v>
      </c>
      <c r="H198" s="293">
        <f t="shared" si="313"/>
        <v>103.2638902749221</v>
      </c>
      <c r="I198" s="293">
        <f t="shared" si="313"/>
        <v>97.007447441201805</v>
      </c>
      <c r="J198" s="293">
        <f t="shared" si="313"/>
        <v>91.130063316456656</v>
      </c>
      <c r="K198" s="293">
        <f t="shared" si="313"/>
        <v>85.608771894498531</v>
      </c>
      <c r="L198" s="293">
        <f t="shared" si="313"/>
        <v>80.421998609111071</v>
      </c>
      <c r="M198" s="293">
        <f t="shared" si="313"/>
        <v>75.549476030966119</v>
      </c>
      <c r="N198" s="293">
        <f t="shared" si="313"/>
        <v>70.972164672203149</v>
      </c>
      <c r="O198" s="293">
        <f t="shared" si="313"/>
        <v>66.672178589216728</v>
      </c>
      <c r="P198" s="293">
        <f t="shared" si="313"/>
        <v>35.687045554137377</v>
      </c>
      <c r="Q198" s="293">
        <f t="shared" si="313"/>
        <v>10.224509737028482</v>
      </c>
      <c r="R198" s="293">
        <f t="shared" si="313"/>
        <v>2.9293710852023804</v>
      </c>
      <c r="S198" s="293">
        <f t="shared" si="313"/>
        <v>0.83927886769402271</v>
      </c>
      <c r="T198" s="293">
        <f t="shared" si="313"/>
        <v>0.24045742149772634</v>
      </c>
      <c r="U198" s="1091">
        <f t="shared" si="225"/>
        <v>119.04</v>
      </c>
      <c r="V198" s="293">
        <f t="shared" ref="V198:AK198" si="314">$AI143+(($V143-$AI143-$Z143-$AA143-$AB143)*EXP(-$E$99*$E$88*V$160))+($Z143*EXP(-$E$98*$E$88*V$160))+($AA143*EXP(-$E$98*$E$88*V$160))+($AB143*EXP(-$E$98*$E$88*V$160))</f>
        <v>122.57366528189755</v>
      </c>
      <c r="W198" s="293">
        <f t="shared" si="314"/>
        <v>118.46472575797425</v>
      </c>
      <c r="X198" s="293">
        <f t="shared" si="314"/>
        <v>111.28783312188948</v>
      </c>
      <c r="Y198" s="293">
        <f t="shared" si="314"/>
        <v>104.54524420800576</v>
      </c>
      <c r="Z198" s="293">
        <f t="shared" si="314"/>
        <v>98.211168064028712</v>
      </c>
      <c r="AA198" s="293">
        <f t="shared" si="314"/>
        <v>92.260854193518227</v>
      </c>
      <c r="AB198" s="293">
        <f t="shared" si="314"/>
        <v>86.671051615720472</v>
      </c>
      <c r="AC198" s="293">
        <f t="shared" si="314"/>
        <v>81.419918055588809</v>
      </c>
      <c r="AD198" s="293">
        <f t="shared" si="314"/>
        <v>76.486934594622909</v>
      </c>
      <c r="AE198" s="293">
        <f t="shared" si="314"/>
        <v>71.852825492748707</v>
      </c>
      <c r="AF198" s="293">
        <f t="shared" si="314"/>
        <v>67.499482867945261</v>
      </c>
      <c r="AG198" s="293">
        <f t="shared" si="314"/>
        <v>36.129869624189482</v>
      </c>
      <c r="AH198" s="293">
        <f t="shared" si="314"/>
        <v>10.351380957263562</v>
      </c>
      <c r="AI198" s="293">
        <f t="shared" si="314"/>
        <v>2.9657202983832365</v>
      </c>
      <c r="AJ198" s="293">
        <f t="shared" si="314"/>
        <v>0.84969309163243156</v>
      </c>
      <c r="AK198" s="293">
        <f t="shared" si="314"/>
        <v>0.24344114661165669</v>
      </c>
      <c r="AL198" s="1091">
        <f t="shared" si="227"/>
        <v>119.04</v>
      </c>
      <c r="AM198" s="293">
        <f t="shared" ref="AM198:BB198" si="315">$AZ143+(($AM143-$AZ143-$AQ143-$AR143-$AS143)*EXP(-$E$99*$E$88*AM$160))+($AQ143*EXP(-$E$98*$E$88*AM$160))+($AR143*EXP(-$E$98*$E$88*AM$160))+($AS143*EXP(-$E$98*$E$88*AM$160))</f>
        <v>122.7518046618179</v>
      </c>
      <c r="AN198" s="293">
        <f t="shared" si="315"/>
        <v>118.74126720633501</v>
      </c>
      <c r="AO198" s="293">
        <f t="shared" si="315"/>
        <v>111.54764153181527</v>
      </c>
      <c r="AP198" s="293">
        <f t="shared" si="315"/>
        <v>104.78931162383121</v>
      </c>
      <c r="AQ198" s="293">
        <f t="shared" si="315"/>
        <v>98.440448182662394</v>
      </c>
      <c r="AR198" s="293">
        <f t="shared" si="315"/>
        <v>92.47624293200613</v>
      </c>
      <c r="AS198" s="293">
        <f t="shared" si="315"/>
        <v>86.873390610238928</v>
      </c>
      <c r="AT198" s="293">
        <f t="shared" si="315"/>
        <v>81.609997950156</v>
      </c>
      <c r="AU198" s="293">
        <f t="shared" si="315"/>
        <v>76.665498130557523</v>
      </c>
      <c r="AV198" s="293">
        <f t="shared" si="315"/>
        <v>72.020570410947855</v>
      </c>
      <c r="AW198" s="293">
        <f t="shared" si="315"/>
        <v>67.657064635322115</v>
      </c>
      <c r="AX198" s="293">
        <f t="shared" si="315"/>
        <v>36.214217066104162</v>
      </c>
      <c r="AY198" s="293">
        <f t="shared" si="315"/>
        <v>10.375546903975005</v>
      </c>
      <c r="AZ198" s="293">
        <f t="shared" si="315"/>
        <v>2.9726439580367328</v>
      </c>
      <c r="BA198" s="293">
        <f t="shared" si="315"/>
        <v>0.8516767533349856</v>
      </c>
      <c r="BB198" s="293">
        <f t="shared" si="315"/>
        <v>0.24400947520478627</v>
      </c>
      <c r="BC198" s="1091">
        <f t="shared" si="229"/>
        <v>119.04</v>
      </c>
      <c r="BD198" s="293">
        <f t="shared" ref="BD198:BS198" si="316">$BQ143+(($BD143-$BQ143-$BH143-$BI143-$BJ143)*EXP(-$E$99*$E$88*BD$160))+($BH143*EXP(-$E$98*$E$88*BD$160))+($BI143*EXP(-$E$98*$E$88*BD$160))+($BJ143*EXP(-$E$98*$E$88*BD$160))</f>
        <v>122.66273497185772</v>
      </c>
      <c r="BE198" s="293">
        <f t="shared" si="316"/>
        <v>118.60299648215464</v>
      </c>
      <c r="BF198" s="293">
        <f t="shared" si="316"/>
        <v>111.41773732685239</v>
      </c>
      <c r="BG198" s="293">
        <f t="shared" si="316"/>
        <v>104.66727791591848</v>
      </c>
      <c r="BH198" s="293">
        <f t="shared" si="316"/>
        <v>98.325808123345567</v>
      </c>
      <c r="BI198" s="293">
        <f t="shared" si="316"/>
        <v>92.368548562762186</v>
      </c>
      <c r="BJ198" s="293">
        <f t="shared" si="316"/>
        <v>86.772221112979707</v>
      </c>
      <c r="BK198" s="293">
        <f t="shared" si="316"/>
        <v>81.514958002872419</v>
      </c>
      <c r="BL198" s="293">
        <f t="shared" si="316"/>
        <v>76.57621636259023</v>
      </c>
      <c r="BM198" s="293">
        <f t="shared" si="316"/>
        <v>71.936697951848288</v>
      </c>
      <c r="BN198" s="293">
        <f t="shared" si="316"/>
        <v>67.578273751633688</v>
      </c>
      <c r="BO198" s="293">
        <f t="shared" si="316"/>
        <v>36.172043345146825</v>
      </c>
      <c r="BP198" s="293">
        <f t="shared" si="316"/>
        <v>10.363463930619284</v>
      </c>
      <c r="BQ198" s="293">
        <f t="shared" si="316"/>
        <v>2.9691821282099848</v>
      </c>
      <c r="BR198" s="293">
        <f t="shared" si="316"/>
        <v>0.85068492248370864</v>
      </c>
      <c r="BS198" s="293">
        <f t="shared" si="316"/>
        <v>0.24372531090822153</v>
      </c>
      <c r="BT198" s="1091">
        <f t="shared" si="231"/>
        <v>119.04</v>
      </c>
      <c r="BU198" s="293">
        <f t="shared" ref="BU198:CJ198" si="317">$CH143+(($BU143-$CH143-$BY143-$BZ143-$CA143)*EXP(-$E$99*$E$88*BU$160))+($BY143*EXP(-$E$98*$E$88*BU$160))+($BZ143*EXP(-$E$98*$E$88*BU$160))+($CA143*EXP(-$E$98*$E$88*BU$160))</f>
        <v>122.52913043691744</v>
      </c>
      <c r="BV198" s="293">
        <f t="shared" si="317"/>
        <v>118.39559039588406</v>
      </c>
      <c r="BW198" s="293">
        <f t="shared" si="317"/>
        <v>111.22288101940802</v>
      </c>
      <c r="BX198" s="293">
        <f t="shared" si="317"/>
        <v>104.48422735404938</v>
      </c>
      <c r="BY198" s="293">
        <f t="shared" si="317"/>
        <v>98.153848034370284</v>
      </c>
      <c r="BZ198" s="293">
        <f t="shared" si="317"/>
        <v>92.207007008896241</v>
      </c>
      <c r="CA198" s="293">
        <f t="shared" si="317"/>
        <v>86.620466867090855</v>
      </c>
      <c r="CB198" s="293">
        <f t="shared" si="317"/>
        <v>81.372398081947011</v>
      </c>
      <c r="CC198" s="293">
        <f t="shared" si="317"/>
        <v>76.442293710639248</v>
      </c>
      <c r="CD198" s="293">
        <f t="shared" si="317"/>
        <v>71.810889263198916</v>
      </c>
      <c r="CE198" s="293">
        <f t="shared" si="317"/>
        <v>67.46008742610104</v>
      </c>
      <c r="CF198" s="293">
        <f t="shared" si="317"/>
        <v>36.108782763710806</v>
      </c>
      <c r="CG198" s="293">
        <f t="shared" si="317"/>
        <v>10.345339470585699</v>
      </c>
      <c r="CH198" s="293">
        <f t="shared" si="317"/>
        <v>2.9639893834698623</v>
      </c>
      <c r="CI198" s="293">
        <f t="shared" si="317"/>
        <v>0.84919717620679303</v>
      </c>
      <c r="CJ198" s="1100">
        <f t="shared" si="317"/>
        <v>0.24329906446337429</v>
      </c>
    </row>
    <row r="199" spans="2:88" ht="17.5">
      <c r="B199" s="223"/>
      <c r="C199" s="223">
        <f t="shared" si="222"/>
        <v>0</v>
      </c>
      <c r="D199" s="295">
        <f t="shared" si="223"/>
        <v>119.04</v>
      </c>
      <c r="E199" s="293">
        <f t="shared" ref="E199:T199" si="318">$R144+(($E144-$R144-$I144-$J144-$K144)*EXP(-$E$99*$E$88*E$160))+($I144*EXP(-$E$98*$E$88*E$160))+($J144*EXP(-$E$98*$E$88*E$160))+($K144*EXP(-$E$98*$E$88*E$160))</f>
        <v>121.63843353731565</v>
      </c>
      <c r="F199" s="293">
        <f t="shared" si="318"/>
        <v>117.01288315408027</v>
      </c>
      <c r="G199" s="293">
        <f t="shared" si="318"/>
        <v>109.923838969779</v>
      </c>
      <c r="H199" s="293">
        <f t="shared" si="318"/>
        <v>103.2638902749221</v>
      </c>
      <c r="I199" s="293">
        <f t="shared" si="318"/>
        <v>97.007447441201805</v>
      </c>
      <c r="J199" s="293">
        <f t="shared" si="318"/>
        <v>91.130063316456656</v>
      </c>
      <c r="K199" s="293">
        <f t="shared" si="318"/>
        <v>85.608771894498531</v>
      </c>
      <c r="L199" s="293">
        <f t="shared" si="318"/>
        <v>80.421998609111071</v>
      </c>
      <c r="M199" s="293">
        <f t="shared" si="318"/>
        <v>75.549476030966119</v>
      </c>
      <c r="N199" s="293">
        <f t="shared" si="318"/>
        <v>70.972164672203149</v>
      </c>
      <c r="O199" s="293">
        <f t="shared" si="318"/>
        <v>66.672178589216728</v>
      </c>
      <c r="P199" s="293">
        <f t="shared" si="318"/>
        <v>35.687045554137377</v>
      </c>
      <c r="Q199" s="293">
        <f t="shared" si="318"/>
        <v>10.224509737028482</v>
      </c>
      <c r="R199" s="293">
        <f t="shared" si="318"/>
        <v>2.9293710852023804</v>
      </c>
      <c r="S199" s="293">
        <f t="shared" si="318"/>
        <v>0.83927886769402271</v>
      </c>
      <c r="T199" s="293">
        <f t="shared" si="318"/>
        <v>0.24045742149772634</v>
      </c>
      <c r="U199" s="1091">
        <f t="shared" si="225"/>
        <v>119.04</v>
      </c>
      <c r="V199" s="293">
        <f t="shared" ref="V199:AK199" si="319">$AI144+(($V144-$AI144-$Z144-$AA144-$AB144)*EXP(-$E$99*$E$88*V$160))+($Z144*EXP(-$E$98*$E$88*V$160))+($AA144*EXP(-$E$98*$E$88*V$160))+($AB144*EXP(-$E$98*$E$88*V$160))</f>
        <v>122.57366528189755</v>
      </c>
      <c r="W199" s="293">
        <f t="shared" si="319"/>
        <v>118.46472575797425</v>
      </c>
      <c r="X199" s="293">
        <f t="shared" si="319"/>
        <v>111.28783312188948</v>
      </c>
      <c r="Y199" s="293">
        <f t="shared" si="319"/>
        <v>104.54524420800576</v>
      </c>
      <c r="Z199" s="293">
        <f t="shared" si="319"/>
        <v>98.211168064028712</v>
      </c>
      <c r="AA199" s="293">
        <f t="shared" si="319"/>
        <v>92.260854193518227</v>
      </c>
      <c r="AB199" s="293">
        <f t="shared" si="319"/>
        <v>86.671051615720472</v>
      </c>
      <c r="AC199" s="293">
        <f t="shared" si="319"/>
        <v>81.419918055588809</v>
      </c>
      <c r="AD199" s="293">
        <f>$AI144+(($V144-$AI144-$Z144-$AA144-$AB144)*EXP(-$E$99*$E$88*AD$160))+($Z144*EXP(-$E$98*$E$88*AD$160))+($AA144*EXP(-$E$98*$E$88*AD$160))+($AB144*EXP(-$E$98*$E$88*AD$160))</f>
        <v>76.486934594622909</v>
      </c>
      <c r="AE199" s="293">
        <f t="shared" si="319"/>
        <v>71.852825492748707</v>
      </c>
      <c r="AF199" s="293">
        <f t="shared" si="319"/>
        <v>67.499482867945261</v>
      </c>
      <c r="AG199" s="293">
        <f t="shared" si="319"/>
        <v>36.129869624189482</v>
      </c>
      <c r="AH199" s="293">
        <f t="shared" si="319"/>
        <v>10.351380957263562</v>
      </c>
      <c r="AI199" s="293">
        <f t="shared" si="319"/>
        <v>2.9657202983832365</v>
      </c>
      <c r="AJ199" s="293">
        <f t="shared" si="319"/>
        <v>0.84969309163243156</v>
      </c>
      <c r="AK199" s="293">
        <f t="shared" si="319"/>
        <v>0.24344114661165669</v>
      </c>
      <c r="AL199" s="1091">
        <f t="shared" si="227"/>
        <v>119.04</v>
      </c>
      <c r="AM199" s="293">
        <f t="shared" ref="AM199:BB199" si="320">$AZ144+(($AM144-$AZ144-$AQ144-$AR144-$AS144)*EXP(-$E$99*$E$88*AM$160))+($AQ144*EXP(-$E$98*$E$88*AM$160))+($AR144*EXP(-$E$98*$E$88*AM$160))+($AS144*EXP(-$E$98*$E$88*AM$160))</f>
        <v>122.7518046618179</v>
      </c>
      <c r="AN199" s="293">
        <f t="shared" si="320"/>
        <v>118.74126720633501</v>
      </c>
      <c r="AO199" s="293">
        <f t="shared" si="320"/>
        <v>111.54764153181527</v>
      </c>
      <c r="AP199" s="293">
        <f t="shared" si="320"/>
        <v>104.78931162383121</v>
      </c>
      <c r="AQ199" s="293">
        <f t="shared" si="320"/>
        <v>98.440448182662394</v>
      </c>
      <c r="AR199" s="293">
        <f t="shared" si="320"/>
        <v>92.47624293200613</v>
      </c>
      <c r="AS199" s="293">
        <f t="shared" si="320"/>
        <v>86.873390610238928</v>
      </c>
      <c r="AT199" s="293">
        <f t="shared" si="320"/>
        <v>81.609997950156</v>
      </c>
      <c r="AU199" s="293">
        <f t="shared" si="320"/>
        <v>76.665498130557523</v>
      </c>
      <c r="AV199" s="293">
        <f t="shared" si="320"/>
        <v>72.020570410947855</v>
      </c>
      <c r="AW199" s="293">
        <f t="shared" si="320"/>
        <v>67.657064635322115</v>
      </c>
      <c r="AX199" s="293">
        <f t="shared" si="320"/>
        <v>36.214217066104162</v>
      </c>
      <c r="AY199" s="293">
        <f t="shared" si="320"/>
        <v>10.375546903975005</v>
      </c>
      <c r="AZ199" s="293">
        <f t="shared" si="320"/>
        <v>2.9726439580367328</v>
      </c>
      <c r="BA199" s="293">
        <f t="shared" si="320"/>
        <v>0.8516767533349856</v>
      </c>
      <c r="BB199" s="293">
        <f t="shared" si="320"/>
        <v>0.24400947520478627</v>
      </c>
      <c r="BC199" s="1091">
        <f t="shared" si="229"/>
        <v>119.04</v>
      </c>
      <c r="BD199" s="293">
        <f t="shared" ref="BD199:BS199" si="321">$BQ144+(($BD144-$BQ144-$BH144-$BI144-$BJ144)*EXP(-$E$99*$E$88*BD$160))+($BH144*EXP(-$E$98*$E$88*BD$160))+($BI144*EXP(-$E$98*$E$88*BD$160))+($BJ144*EXP(-$E$98*$E$88*BD$160))</f>
        <v>122.66273497185772</v>
      </c>
      <c r="BE199" s="293">
        <f t="shared" si="321"/>
        <v>118.60299648215464</v>
      </c>
      <c r="BF199" s="293">
        <f t="shared" si="321"/>
        <v>111.41773732685239</v>
      </c>
      <c r="BG199" s="293">
        <f t="shared" si="321"/>
        <v>104.66727791591848</v>
      </c>
      <c r="BH199" s="293">
        <f t="shared" si="321"/>
        <v>98.325808123345567</v>
      </c>
      <c r="BI199" s="293">
        <f t="shared" si="321"/>
        <v>92.368548562762186</v>
      </c>
      <c r="BJ199" s="293">
        <f t="shared" si="321"/>
        <v>86.772221112979707</v>
      </c>
      <c r="BK199" s="293">
        <f t="shared" si="321"/>
        <v>81.514958002872419</v>
      </c>
      <c r="BL199" s="293">
        <f t="shared" si="321"/>
        <v>76.57621636259023</v>
      </c>
      <c r="BM199" s="293">
        <f t="shared" si="321"/>
        <v>71.936697951848288</v>
      </c>
      <c r="BN199" s="293">
        <f t="shared" si="321"/>
        <v>67.578273751633688</v>
      </c>
      <c r="BO199" s="293">
        <f t="shared" si="321"/>
        <v>36.172043345146825</v>
      </c>
      <c r="BP199" s="293">
        <f t="shared" si="321"/>
        <v>10.363463930619284</v>
      </c>
      <c r="BQ199" s="293">
        <f t="shared" si="321"/>
        <v>2.9691821282099848</v>
      </c>
      <c r="BR199" s="293">
        <f t="shared" si="321"/>
        <v>0.85068492248370864</v>
      </c>
      <c r="BS199" s="293">
        <f t="shared" si="321"/>
        <v>0.24372531090822153</v>
      </c>
      <c r="BT199" s="1113">
        <f>BU144</f>
        <v>119.04</v>
      </c>
      <c r="BU199" s="293">
        <f t="shared" ref="BU199:CJ199" si="322">$CH144+(($BU144-$CH144-$BY144-$BZ144-$CA144)*EXP(-$E$99*$E$88*BU$160))+($BY144*EXP(-$E$98*$E$88*BU$160))+($BZ144*EXP(-$E$98*$E$88*BU$160))+($CA144*EXP(-$E$98*$E$88*BU$160))</f>
        <v>122.52913043691744</v>
      </c>
      <c r="BV199" s="293">
        <f t="shared" si="322"/>
        <v>118.39559039588406</v>
      </c>
      <c r="BW199" s="293">
        <f t="shared" si="322"/>
        <v>111.22288101940802</v>
      </c>
      <c r="BX199" s="293">
        <f t="shared" si="322"/>
        <v>104.48422735404938</v>
      </c>
      <c r="BY199" s="293">
        <f t="shared" si="322"/>
        <v>98.153848034370284</v>
      </c>
      <c r="BZ199" s="293">
        <f t="shared" si="322"/>
        <v>92.207007008896241</v>
      </c>
      <c r="CA199" s="293">
        <f t="shared" si="322"/>
        <v>86.620466867090855</v>
      </c>
      <c r="CB199" s="293">
        <f t="shared" si="322"/>
        <v>81.372398081947011</v>
      </c>
      <c r="CC199" s="293">
        <f t="shared" si="322"/>
        <v>76.442293710639248</v>
      </c>
      <c r="CD199" s="293">
        <f t="shared" si="322"/>
        <v>71.810889263198916</v>
      </c>
      <c r="CE199" s="293">
        <f t="shared" si="322"/>
        <v>67.46008742610104</v>
      </c>
      <c r="CF199" s="293">
        <f t="shared" si="322"/>
        <v>36.108782763710806</v>
      </c>
      <c r="CG199" s="293">
        <f t="shared" si="322"/>
        <v>10.345339470585699</v>
      </c>
      <c r="CH199" s="293">
        <f t="shared" si="322"/>
        <v>2.9639893834698623</v>
      </c>
      <c r="CI199" s="293">
        <f t="shared" si="322"/>
        <v>0.84919717620679303</v>
      </c>
      <c r="CJ199" s="1100">
        <f t="shared" si="322"/>
        <v>0.24329906446337429</v>
      </c>
    </row>
    <row r="200" spans="2:88" ht="17.5">
      <c r="B200" s="223"/>
      <c r="C200" s="223">
        <f>C145</f>
        <v>0</v>
      </c>
      <c r="D200" s="1109">
        <f>E145</f>
        <v>119.04</v>
      </c>
      <c r="E200" s="1102">
        <f>$R145+(($E145-$R145-$I145-$J145-$K145)*EXP(-$E$99*$E$88*E$160))+($I145*EXP(-$E$98*$E$88*E$160))+($J145*EXP(-$E$98*$E$88*E$160))+($K145*EXP(-$E$98*$E$88*E$160))</f>
        <v>121.63843353731565</v>
      </c>
      <c r="F200" s="1102">
        <f>$R145+(($E145-$R145-$I145-$J145-$K145)*EXP(-$E$99*$E$88*F$160))+($I145*EXP(-$E$98*$E$88*F$160))+($J145*EXP(-$E$98*$E$88*F$160))+($K145*EXP(-$E$98*$E$88*F$160))</f>
        <v>117.01288315408027</v>
      </c>
      <c r="G200" s="1102">
        <f>$R145+(($E145-$R145-$I145-$J145-$K145)*EXP(-$E$99*$E$88*G$160))+($I145*EXP(-$E$98*$E$88*G$160))+($J145*EXP(-$E$98*$E$88*G$160))+($K145*EXP(-$E$98*$E$88*G$160))</f>
        <v>109.923838969779</v>
      </c>
      <c r="H200" s="296">
        <f t="shared" ref="H200:T200" si="323">$R145+(($E145-$R145-$I145-$J145-$K145)*EXP(-$E$99*$E$88*H$160))+($I145*EXP(-$E$98*$E$88*H$160))+($J145*EXP(-$E$98*$E$88*H$160))+($K145*EXP(-$E$98*$E$88*H$160))</f>
        <v>103.2638902749221</v>
      </c>
      <c r="I200" s="296">
        <f t="shared" si="323"/>
        <v>97.007447441201805</v>
      </c>
      <c r="J200" s="296">
        <f t="shared" si="323"/>
        <v>91.130063316456656</v>
      </c>
      <c r="K200" s="296">
        <f t="shared" si="323"/>
        <v>85.608771894498531</v>
      </c>
      <c r="L200" s="296">
        <f t="shared" si="323"/>
        <v>80.421998609111071</v>
      </c>
      <c r="M200" s="296">
        <f t="shared" si="323"/>
        <v>75.549476030966119</v>
      </c>
      <c r="N200" s="296">
        <f t="shared" si="323"/>
        <v>70.972164672203149</v>
      </c>
      <c r="O200" s="296">
        <f t="shared" si="323"/>
        <v>66.672178589216728</v>
      </c>
      <c r="P200" s="296">
        <f t="shared" si="323"/>
        <v>35.687045554137377</v>
      </c>
      <c r="Q200" s="296">
        <f t="shared" si="323"/>
        <v>10.224509737028482</v>
      </c>
      <c r="R200" s="296">
        <f t="shared" si="323"/>
        <v>2.9293710852023804</v>
      </c>
      <c r="S200" s="296">
        <f t="shared" si="323"/>
        <v>0.83927886769402271</v>
      </c>
      <c r="T200" s="296">
        <f t="shared" si="323"/>
        <v>0.24045742149772634</v>
      </c>
      <c r="U200" s="1093">
        <f>V145</f>
        <v>119.04</v>
      </c>
      <c r="V200" s="1102">
        <f t="shared" ref="V200:AC200" si="324">$AI145+(($V145-$AI145-$Z145-$AA145-$AB145)*EXP(-$E$99*$E$88*V$160))+($Z145*EXP(-$E$98*$E$88*V$160))+($AA145*EXP(-$E$98*$E$88*V$160))+($AB145*EXP(-$E$98*$E$88*V$160))</f>
        <v>122.57366528189755</v>
      </c>
      <c r="W200" s="1102">
        <f t="shared" si="324"/>
        <v>118.46472575797425</v>
      </c>
      <c r="X200" s="1102">
        <f t="shared" si="324"/>
        <v>111.28783312188948</v>
      </c>
      <c r="Y200" s="1102">
        <f t="shared" si="324"/>
        <v>104.54524420800576</v>
      </c>
      <c r="Z200" s="1102">
        <f t="shared" si="324"/>
        <v>98.211168064028712</v>
      </c>
      <c r="AA200" s="1102">
        <f t="shared" si="324"/>
        <v>92.260854193518227</v>
      </c>
      <c r="AB200" s="1102">
        <f t="shared" si="324"/>
        <v>86.671051615720472</v>
      </c>
      <c r="AC200" s="1102">
        <f t="shared" si="324"/>
        <v>81.419918055588809</v>
      </c>
      <c r="AD200" s="1102">
        <f>$AI145+(($V145-$AI145-$Z145-$AA145-$AB145)*EXP(-$E$99*$E$88*AD$160))+($Z145*EXP(-$E$98*$E$88*AD$160))+($AA145*EXP(-$E$98*$E$88*AD$160))+($AB145*EXP(-$E$98*$E$88*AD$160))</f>
        <v>76.486934594622909</v>
      </c>
      <c r="AE200" s="1102">
        <f t="shared" ref="AE200:AK200" si="325">$AI145+(($V145-$AI145-$Z145-$AA145-$AB145)*EXP(-$E$99*$E$88*AE$160))+($Z145*EXP(-$E$98*$E$88*AE$160))+($AA145*EXP(-$E$98*$E$88*AE$160))+($AB145*EXP(-$E$98*$E$88*AE$160))</f>
        <v>71.852825492748707</v>
      </c>
      <c r="AF200" s="1102">
        <f t="shared" si="325"/>
        <v>67.499482867945261</v>
      </c>
      <c r="AG200" s="1102">
        <f t="shared" si="325"/>
        <v>36.129869624189482</v>
      </c>
      <c r="AH200" s="1102">
        <f t="shared" si="325"/>
        <v>10.351380957263562</v>
      </c>
      <c r="AI200" s="1102">
        <f t="shared" si="325"/>
        <v>2.9657202983832365</v>
      </c>
      <c r="AJ200" s="1102">
        <f t="shared" si="325"/>
        <v>0.84969309163243156</v>
      </c>
      <c r="AK200" s="1102">
        <f t="shared" si="325"/>
        <v>0.24344114661165669</v>
      </c>
      <c r="AL200" s="1093">
        <f>AM145</f>
        <v>119.04</v>
      </c>
      <c r="AM200" s="1102">
        <f t="shared" ref="AM200:BB200" si="326">$AZ145+(($AM145-$AZ145-$AQ145-$AR145-$AS145)*EXP(-$E$99*$E$88*AM$160))+($AQ145*EXP(-$E$98*$E$88*AM$160))+($AR145*EXP(-$E$98*$E$88*AM$160))+($AS145*EXP(-$E$98*$E$88*AM$160))</f>
        <v>122.7518046618179</v>
      </c>
      <c r="AN200" s="1102">
        <f t="shared" si="326"/>
        <v>118.74126720633501</v>
      </c>
      <c r="AO200" s="1102">
        <f t="shared" si="326"/>
        <v>111.54764153181527</v>
      </c>
      <c r="AP200" s="1102">
        <f t="shared" si="326"/>
        <v>104.78931162383121</v>
      </c>
      <c r="AQ200" s="1102">
        <f t="shared" si="326"/>
        <v>98.440448182662394</v>
      </c>
      <c r="AR200" s="1102">
        <f t="shared" si="326"/>
        <v>92.47624293200613</v>
      </c>
      <c r="AS200" s="1102">
        <f t="shared" si="326"/>
        <v>86.873390610238928</v>
      </c>
      <c r="AT200" s="1102">
        <f t="shared" si="326"/>
        <v>81.609997950156</v>
      </c>
      <c r="AU200" s="1102">
        <f t="shared" si="326"/>
        <v>76.665498130557523</v>
      </c>
      <c r="AV200" s="1102">
        <f t="shared" si="326"/>
        <v>72.020570410947855</v>
      </c>
      <c r="AW200" s="1102">
        <f t="shared" si="326"/>
        <v>67.657064635322115</v>
      </c>
      <c r="AX200" s="1102">
        <f t="shared" si="326"/>
        <v>36.214217066104162</v>
      </c>
      <c r="AY200" s="1102">
        <f t="shared" si="326"/>
        <v>10.375546903975005</v>
      </c>
      <c r="AZ200" s="1102">
        <f t="shared" si="326"/>
        <v>2.9726439580367328</v>
      </c>
      <c r="BA200" s="1102">
        <f t="shared" si="326"/>
        <v>0.8516767533349856</v>
      </c>
      <c r="BB200" s="1102">
        <f t="shared" si="326"/>
        <v>0.24400947520478627</v>
      </c>
      <c r="BC200" s="1093">
        <f>BD145</f>
        <v>119.04</v>
      </c>
      <c r="BD200" s="1102">
        <f t="shared" ref="BD200:BS200" si="327">$BQ145+(($BD145-$BQ145-$BH145-$BI145-$BJ145)*EXP(-$E$99*$E$88*BD$160))+($BH145*EXP(-$E$98*$E$88*BD$160))+($BI145*EXP(-$E$98*$E$88*BD$160))+($BJ145*EXP(-$E$98*$E$88*BD$160))</f>
        <v>122.66273497185772</v>
      </c>
      <c r="BE200" s="1102">
        <f t="shared" si="327"/>
        <v>118.60299648215464</v>
      </c>
      <c r="BF200" s="1102">
        <f t="shared" si="327"/>
        <v>111.41773732685239</v>
      </c>
      <c r="BG200" s="1102">
        <f t="shared" si="327"/>
        <v>104.66727791591848</v>
      </c>
      <c r="BH200" s="1102">
        <f t="shared" si="327"/>
        <v>98.325808123345567</v>
      </c>
      <c r="BI200" s="1102">
        <f t="shared" si="327"/>
        <v>92.368548562762186</v>
      </c>
      <c r="BJ200" s="1102">
        <f t="shared" si="327"/>
        <v>86.772221112979707</v>
      </c>
      <c r="BK200" s="1102">
        <f t="shared" si="327"/>
        <v>81.514958002872419</v>
      </c>
      <c r="BL200" s="1102">
        <f t="shared" si="327"/>
        <v>76.57621636259023</v>
      </c>
      <c r="BM200" s="1102">
        <f t="shared" si="327"/>
        <v>71.936697951848288</v>
      </c>
      <c r="BN200" s="1102">
        <f t="shared" si="327"/>
        <v>67.578273751633688</v>
      </c>
      <c r="BO200" s="1102">
        <f t="shared" si="327"/>
        <v>36.172043345146825</v>
      </c>
      <c r="BP200" s="1102">
        <f t="shared" si="327"/>
        <v>10.363463930619284</v>
      </c>
      <c r="BQ200" s="1102">
        <f t="shared" si="327"/>
        <v>2.9691821282099848</v>
      </c>
      <c r="BR200" s="1102">
        <f t="shared" si="327"/>
        <v>0.85068492248370864</v>
      </c>
      <c r="BS200" s="1102">
        <f t="shared" si="327"/>
        <v>0.24372531090822153</v>
      </c>
      <c r="BT200" s="1115">
        <f>BU145</f>
        <v>119.04</v>
      </c>
      <c r="BU200" s="1102">
        <f t="shared" ref="BU200:CJ200" si="328">$CH145+(($BU145-$CH145-$BY145-$BZ145-$CA145)*EXP(-$E$99*$E$88*BU$160))+($BY145*EXP(-$E$98*$E$88*BU$160))+($BZ145*EXP(-$E$98*$E$88*BU$160))+($CA145*EXP(-$E$98*$E$88*BU$160))</f>
        <v>122.52913043691744</v>
      </c>
      <c r="BV200" s="1102">
        <f t="shared" si="328"/>
        <v>118.39559039588406</v>
      </c>
      <c r="BW200" s="1102">
        <f t="shared" si="328"/>
        <v>111.22288101940802</v>
      </c>
      <c r="BX200" s="1102">
        <f t="shared" si="328"/>
        <v>104.48422735404938</v>
      </c>
      <c r="BY200" s="1102">
        <f t="shared" si="328"/>
        <v>98.153848034370284</v>
      </c>
      <c r="BZ200" s="1102">
        <f t="shared" si="328"/>
        <v>92.207007008896241</v>
      </c>
      <c r="CA200" s="1102">
        <f t="shared" si="328"/>
        <v>86.620466867090855</v>
      </c>
      <c r="CB200" s="1102">
        <f t="shared" si="328"/>
        <v>81.372398081947011</v>
      </c>
      <c r="CC200" s="1102">
        <f t="shared" si="328"/>
        <v>76.442293710639248</v>
      </c>
      <c r="CD200" s="1102">
        <f t="shared" si="328"/>
        <v>71.810889263198916</v>
      </c>
      <c r="CE200" s="1102">
        <f t="shared" si="328"/>
        <v>67.46008742610104</v>
      </c>
      <c r="CF200" s="1102">
        <f t="shared" si="328"/>
        <v>36.108782763710806</v>
      </c>
      <c r="CG200" s="1102">
        <f t="shared" si="328"/>
        <v>10.345339470585699</v>
      </c>
      <c r="CH200" s="1102">
        <f t="shared" si="328"/>
        <v>2.9639893834698623</v>
      </c>
      <c r="CI200" s="1102">
        <f t="shared" si="328"/>
        <v>0.84919717620679303</v>
      </c>
      <c r="CJ200" s="1114">
        <f t="shared" si="328"/>
        <v>0.24329906446337429</v>
      </c>
    </row>
    <row r="201" spans="2:88" ht="17.5">
      <c r="B201" s="223"/>
      <c r="C201" s="223"/>
      <c r="D201" s="223"/>
      <c r="E201" s="293"/>
      <c r="F201" s="293"/>
      <c r="G201" s="293"/>
      <c r="H201" s="301"/>
      <c r="I201" s="301"/>
      <c r="J201" s="301"/>
      <c r="K201" s="301"/>
      <c r="L201" s="301"/>
      <c r="M201" s="301"/>
      <c r="N201" s="301"/>
      <c r="O201" s="301"/>
      <c r="P201" s="301"/>
      <c r="Q201" s="301"/>
      <c r="R201" s="301"/>
      <c r="S201" s="301"/>
      <c r="T201" s="301"/>
      <c r="U201" s="223"/>
      <c r="V201" s="293"/>
      <c r="W201" s="293"/>
      <c r="X201" s="293"/>
      <c r="Y201" s="293"/>
      <c r="Z201" s="293"/>
      <c r="AA201" s="293"/>
      <c r="AB201" s="293"/>
      <c r="AC201" s="293"/>
      <c r="AD201" s="293"/>
      <c r="AE201" s="293"/>
      <c r="AF201" s="293"/>
      <c r="AG201" s="293"/>
      <c r="AH201" s="293"/>
      <c r="AI201" s="293"/>
      <c r="AJ201" s="293"/>
      <c r="AK201" s="293"/>
      <c r="AL201" s="223"/>
      <c r="AM201" s="293"/>
      <c r="AN201" s="293"/>
      <c r="AO201" s="293"/>
      <c r="AP201" s="293"/>
      <c r="AQ201" s="293"/>
      <c r="AR201" s="293"/>
      <c r="AS201" s="293"/>
      <c r="AT201" s="293"/>
      <c r="AU201" s="293"/>
      <c r="AV201" s="293"/>
      <c r="AW201" s="293"/>
      <c r="AX201" s="293"/>
      <c r="AY201" s="293"/>
      <c r="AZ201" s="293"/>
      <c r="BA201" s="293"/>
      <c r="BB201" s="293"/>
      <c r="BC201" s="223"/>
      <c r="BD201" s="293"/>
      <c r="BE201" s="293"/>
      <c r="BF201" s="293"/>
      <c r="BG201" s="293"/>
      <c r="BH201" s="293"/>
      <c r="BI201" s="293"/>
      <c r="BJ201" s="293"/>
      <c r="BK201" s="293"/>
      <c r="BL201" s="293"/>
      <c r="BM201" s="293"/>
      <c r="BN201" s="293"/>
      <c r="BO201" s="293"/>
      <c r="BP201" s="293"/>
      <c r="BQ201" s="293"/>
      <c r="BR201" s="293"/>
      <c r="BS201" s="293"/>
      <c r="BT201" s="223"/>
      <c r="BU201" s="293"/>
      <c r="BV201" s="293"/>
      <c r="BW201" s="293"/>
      <c r="BX201" s="293"/>
      <c r="BY201" s="293"/>
      <c r="BZ201" s="293"/>
      <c r="CA201" s="293"/>
      <c r="CB201" s="293"/>
      <c r="CC201" s="293"/>
      <c r="CD201" s="293"/>
      <c r="CE201" s="293"/>
      <c r="CF201" s="293"/>
      <c r="CG201" s="293"/>
      <c r="CH201" s="293"/>
      <c r="CI201" s="293"/>
      <c r="CJ201" s="293"/>
    </row>
    <row r="202" spans="2:88" ht="17.5">
      <c r="B202" s="223"/>
      <c r="C202" s="223"/>
      <c r="D202" s="223"/>
      <c r="E202" s="293"/>
      <c r="F202" s="293"/>
      <c r="G202" s="293"/>
      <c r="H202" s="301"/>
      <c r="I202" s="301"/>
      <c r="J202" s="301"/>
      <c r="K202" s="301"/>
      <c r="L202" s="301"/>
      <c r="M202" s="301"/>
      <c r="N202" s="301"/>
      <c r="O202" s="301"/>
      <c r="P202" s="301"/>
      <c r="Q202" s="301"/>
      <c r="R202" s="301"/>
      <c r="S202" s="301"/>
      <c r="T202" s="301"/>
      <c r="U202" s="223"/>
      <c r="V202" s="293"/>
      <c r="W202" s="293"/>
      <c r="X202" s="293"/>
      <c r="Y202" s="293"/>
      <c r="Z202" s="293"/>
      <c r="AA202" s="293"/>
      <c r="AB202" s="293"/>
      <c r="AC202" s="293"/>
      <c r="AD202" s="293"/>
      <c r="AE202" s="293"/>
      <c r="AF202" s="293"/>
      <c r="AG202" s="293"/>
      <c r="AH202" s="293"/>
      <c r="AI202" s="293"/>
      <c r="AJ202" s="293"/>
      <c r="AK202" s="293"/>
      <c r="AL202" s="223"/>
      <c r="AM202" s="293"/>
      <c r="AN202" s="293"/>
      <c r="AO202" s="293"/>
      <c r="AP202" s="293"/>
      <c r="AQ202" s="293"/>
      <c r="AR202" s="293"/>
      <c r="AS202" s="293"/>
      <c r="AT202" s="293"/>
      <c r="AU202" s="293"/>
      <c r="AV202" s="293"/>
      <c r="AW202" s="293"/>
      <c r="AX202" s="293"/>
      <c r="AY202" s="293"/>
      <c r="AZ202" s="293"/>
      <c r="BA202" s="293"/>
      <c r="BB202" s="293"/>
      <c r="BC202" s="223"/>
      <c r="BD202" s="293"/>
      <c r="BE202" s="293"/>
      <c r="BF202" s="293"/>
      <c r="BG202" s="293"/>
      <c r="BH202" s="293"/>
      <c r="BI202" s="293"/>
      <c r="BJ202" s="293"/>
      <c r="BK202" s="293"/>
      <c r="BL202" s="293"/>
      <c r="BM202" s="293"/>
      <c r="BN202" s="293"/>
      <c r="BO202" s="293"/>
      <c r="BP202" s="293"/>
      <c r="BQ202" s="293"/>
      <c r="BR202" s="293"/>
      <c r="BS202" s="293"/>
      <c r="BT202" s="223"/>
      <c r="BU202" s="293"/>
      <c r="BV202" s="293"/>
      <c r="BW202" s="293"/>
      <c r="BX202" s="293"/>
      <c r="BY202" s="293"/>
      <c r="BZ202" s="293"/>
      <c r="CA202" s="293"/>
      <c r="CB202" s="293"/>
      <c r="CC202" s="293"/>
      <c r="CD202" s="293"/>
      <c r="CE202" s="293"/>
      <c r="CF202" s="293"/>
      <c r="CG202" s="293"/>
      <c r="CH202" s="293"/>
      <c r="CI202" s="293"/>
      <c r="CJ202" s="293"/>
    </row>
    <row r="203" spans="2:88" ht="17.5">
      <c r="B203" s="223"/>
      <c r="C203" s="223"/>
      <c r="D203" s="223"/>
      <c r="E203" s="293"/>
      <c r="F203" s="293"/>
      <c r="G203" s="293"/>
      <c r="H203" s="301"/>
      <c r="I203" s="301"/>
      <c r="J203" s="301"/>
      <c r="K203" s="301"/>
      <c r="L203" s="301"/>
      <c r="M203" s="301"/>
      <c r="N203" s="301"/>
      <c r="O203" s="301"/>
      <c r="P203" s="301"/>
      <c r="Q203" s="301"/>
      <c r="R203" s="301"/>
      <c r="S203" s="301"/>
      <c r="T203" s="301"/>
      <c r="U203" s="223"/>
      <c r="V203" s="293"/>
      <c r="W203" s="293"/>
      <c r="X203" s="293"/>
      <c r="Y203" s="293"/>
      <c r="Z203" s="293"/>
      <c r="AA203" s="293"/>
      <c r="AB203" s="293"/>
      <c r="AC203" s="293"/>
      <c r="AD203" s="293"/>
      <c r="AE203" s="293"/>
      <c r="AF203" s="293"/>
      <c r="AG203" s="293"/>
      <c r="AH203" s="293"/>
      <c r="AI203" s="293"/>
      <c r="AJ203" s="293"/>
      <c r="AK203" s="293"/>
      <c r="AL203" s="223"/>
      <c r="AM203" s="293"/>
      <c r="AN203" s="293"/>
      <c r="AO203" s="293"/>
      <c r="AP203" s="293"/>
      <c r="AQ203" s="293"/>
      <c r="AR203" s="293"/>
      <c r="AS203" s="293"/>
      <c r="AT203" s="293"/>
      <c r="AU203" s="293"/>
      <c r="AV203" s="293"/>
      <c r="AW203" s="293"/>
      <c r="AX203" s="293"/>
      <c r="AY203" s="293"/>
      <c r="AZ203" s="293"/>
      <c r="BA203" s="293"/>
      <c r="BB203" s="293"/>
      <c r="BC203" s="223"/>
      <c r="BD203" s="293"/>
      <c r="BE203" s="293"/>
      <c r="BF203" s="293"/>
      <c r="BG203" s="293"/>
      <c r="BH203" s="293"/>
      <c r="BI203" s="293"/>
      <c r="BJ203" s="293"/>
      <c r="BK203" s="293"/>
      <c r="BL203" s="293"/>
      <c r="BM203" s="293"/>
      <c r="BN203" s="293"/>
      <c r="BO203" s="293"/>
      <c r="BP203" s="293"/>
      <c r="BQ203" s="293"/>
      <c r="BR203" s="293"/>
      <c r="BS203" s="293"/>
      <c r="BT203" s="223"/>
      <c r="BU203" s="293"/>
      <c r="BV203" s="293"/>
      <c r="BW203" s="293"/>
      <c r="BX203" s="293"/>
      <c r="BY203" s="293"/>
      <c r="BZ203" s="293"/>
      <c r="CA203" s="293"/>
      <c r="CB203" s="293"/>
      <c r="CC203" s="293"/>
      <c r="CD203" s="293"/>
      <c r="CE203" s="293"/>
      <c r="CF203" s="293"/>
      <c r="CG203" s="293"/>
      <c r="CH203" s="293"/>
      <c r="CI203" s="293"/>
      <c r="CJ203" s="293"/>
    </row>
    <row r="204" spans="2:88" ht="17.5">
      <c r="B204" s="223"/>
      <c r="C204" s="223"/>
      <c r="D204" s="223"/>
      <c r="E204" s="293"/>
      <c r="F204" s="293"/>
      <c r="G204" s="293"/>
      <c r="H204" s="301"/>
      <c r="I204" s="301"/>
      <c r="J204" s="301"/>
      <c r="K204" s="301"/>
      <c r="L204" s="301"/>
      <c r="M204" s="301"/>
      <c r="N204" s="301"/>
      <c r="O204" s="301"/>
      <c r="P204" s="301"/>
      <c r="Q204" s="301"/>
      <c r="R204" s="301"/>
      <c r="S204" s="301"/>
      <c r="T204" s="301"/>
      <c r="U204" s="223"/>
      <c r="V204" s="293"/>
      <c r="W204" s="293"/>
      <c r="X204" s="293"/>
      <c r="Y204" s="293"/>
      <c r="Z204" s="293"/>
      <c r="AA204" s="293"/>
      <c r="AB204" s="293"/>
      <c r="AC204" s="293"/>
      <c r="AD204" s="293"/>
      <c r="AE204" s="293"/>
      <c r="AF204" s="293"/>
      <c r="AG204" s="293"/>
      <c r="AH204" s="293"/>
      <c r="AI204" s="293"/>
      <c r="AJ204" s="293"/>
      <c r="AK204" s="293"/>
      <c r="AL204" s="223"/>
      <c r="AM204" s="293"/>
      <c r="AN204" s="293"/>
      <c r="AO204" s="293"/>
      <c r="AP204" s="293"/>
      <c r="AQ204" s="293"/>
      <c r="AR204" s="293"/>
      <c r="AS204" s="293"/>
      <c r="AT204" s="293"/>
      <c r="AU204" s="293"/>
      <c r="AV204" s="293"/>
      <c r="AW204" s="293"/>
      <c r="AX204" s="293"/>
      <c r="AY204" s="293"/>
      <c r="AZ204" s="293"/>
      <c r="BA204" s="293"/>
      <c r="BB204" s="293"/>
      <c r="BC204" s="223"/>
      <c r="BD204" s="293"/>
      <c r="BE204" s="293"/>
      <c r="BF204" s="293"/>
      <c r="BG204" s="293"/>
      <c r="BH204" s="293"/>
      <c r="BI204" s="293"/>
      <c r="BJ204" s="293"/>
      <c r="BK204" s="293"/>
      <c r="BL204" s="293"/>
      <c r="BM204" s="293"/>
      <c r="BN204" s="293"/>
      <c r="BO204" s="293"/>
      <c r="BP204" s="293"/>
      <c r="BQ204" s="293"/>
      <c r="BR204" s="293"/>
      <c r="BS204" s="293"/>
      <c r="BT204" s="223"/>
      <c r="BU204" s="293"/>
      <c r="BV204" s="293"/>
      <c r="BW204" s="293"/>
      <c r="BX204" s="293"/>
      <c r="BY204" s="293"/>
      <c r="BZ204" s="293"/>
      <c r="CA204" s="293"/>
      <c r="CB204" s="293"/>
      <c r="CC204" s="293"/>
      <c r="CD204" s="293"/>
      <c r="CE204" s="293"/>
      <c r="CF204" s="293"/>
      <c r="CG204" s="293"/>
      <c r="CH204" s="293"/>
      <c r="CI204" s="293"/>
      <c r="CJ204" s="293"/>
    </row>
    <row r="205" spans="2:88" ht="54.65" customHeight="1">
      <c r="B205" s="223"/>
      <c r="C205" s="319"/>
      <c r="D205" s="1369" t="s">
        <v>1211</v>
      </c>
      <c r="E205" s="1369"/>
      <c r="F205" s="1369"/>
      <c r="G205" s="1369"/>
      <c r="H205" s="1369"/>
      <c r="J205" s="319" t="s">
        <v>1212</v>
      </c>
      <c r="K205" s="319"/>
      <c r="L205" s="319"/>
      <c r="M205" s="319"/>
      <c r="N205" s="319"/>
      <c r="O205" s="319"/>
      <c r="Q205" s="320"/>
      <c r="R205" s="320"/>
      <c r="T205" s="1370" t="s">
        <v>1213</v>
      </c>
      <c r="U205" s="1370" t="s">
        <v>1214</v>
      </c>
      <c r="V205" s="1370" t="s">
        <v>1215</v>
      </c>
      <c r="Z205" s="293"/>
      <c r="AA205" s="293"/>
      <c r="AB205" s="293"/>
      <c r="AC205" s="293"/>
      <c r="AD205" s="293"/>
      <c r="AE205" s="293"/>
      <c r="AF205" s="293"/>
      <c r="AG205" s="293"/>
      <c r="AH205" s="293"/>
      <c r="AI205" s="293"/>
      <c r="AJ205" s="293"/>
      <c r="AK205" s="293"/>
      <c r="AL205" s="223"/>
      <c r="AM205" s="293"/>
      <c r="AN205" s="293"/>
      <c r="AO205" s="293"/>
      <c r="AP205" s="293"/>
      <c r="AQ205" s="293"/>
      <c r="AR205" s="293"/>
      <c r="AS205" s="293"/>
      <c r="AT205" s="293"/>
      <c r="AU205" s="293"/>
      <c r="AV205" s="293"/>
      <c r="AW205" s="293"/>
      <c r="AX205" s="293"/>
      <c r="AY205" s="293"/>
      <c r="AZ205" s="293"/>
      <c r="BA205" s="293"/>
      <c r="BB205" s="293"/>
      <c r="BC205" s="223"/>
      <c r="BD205" s="293"/>
      <c r="BE205" s="293"/>
      <c r="BF205" s="293"/>
      <c r="BG205" s="293"/>
      <c r="BH205" s="293"/>
      <c r="BI205" s="293"/>
      <c r="BJ205" s="293"/>
      <c r="BK205" s="293"/>
      <c r="BL205" s="293"/>
      <c r="BM205" s="293"/>
      <c r="BN205" s="293"/>
      <c r="BO205" s="293"/>
      <c r="BP205" s="293"/>
      <c r="BQ205" s="293"/>
      <c r="BR205" s="293"/>
      <c r="BS205" s="293"/>
      <c r="BT205" s="223"/>
      <c r="BU205" s="293"/>
      <c r="BV205" s="293"/>
      <c r="BW205" s="293"/>
      <c r="BX205" s="293"/>
      <c r="BY205" s="293"/>
      <c r="BZ205" s="293"/>
      <c r="CA205" s="293"/>
      <c r="CB205" s="293"/>
      <c r="CC205" s="293"/>
      <c r="CD205" s="293"/>
      <c r="CE205" s="293"/>
      <c r="CF205" s="293"/>
      <c r="CG205" s="293"/>
      <c r="CH205" s="293"/>
      <c r="CI205" s="293"/>
      <c r="CJ205" s="293"/>
    </row>
    <row r="206" spans="2:88" ht="31">
      <c r="B206" s="223"/>
      <c r="C206" s="319" t="s">
        <v>132</v>
      </c>
      <c r="D206" s="319" t="s">
        <v>1216</v>
      </c>
      <c r="E206" s="319" t="s">
        <v>1217</v>
      </c>
      <c r="F206" s="320" t="s">
        <v>1218</v>
      </c>
      <c r="G206" s="319" t="s">
        <v>1219</v>
      </c>
      <c r="H206" s="319" t="s">
        <v>1220</v>
      </c>
      <c r="J206" s="319" t="s">
        <v>1216</v>
      </c>
      <c r="K206" s="319" t="s">
        <v>1217</v>
      </c>
      <c r="L206" s="320" t="s">
        <v>1218</v>
      </c>
      <c r="M206" s="319" t="s">
        <v>1219</v>
      </c>
      <c r="N206" s="319" t="s">
        <v>1220</v>
      </c>
      <c r="O206" s="319"/>
      <c r="Q206" s="320" t="s">
        <v>1221</v>
      </c>
      <c r="R206" s="320" t="s">
        <v>1222</v>
      </c>
      <c r="T206" s="1370"/>
      <c r="U206" s="1370"/>
      <c r="V206" s="1370"/>
      <c r="Z206" s="293"/>
      <c r="AA206" s="293"/>
      <c r="AB206" s="293"/>
      <c r="AC206" s="293"/>
      <c r="AD206" s="293"/>
      <c r="AE206" s="293"/>
      <c r="AF206" s="293"/>
      <c r="AG206" s="293"/>
      <c r="AH206" s="293"/>
      <c r="AI206" s="293"/>
      <c r="AJ206" s="293"/>
      <c r="AK206" s="293"/>
      <c r="AL206" s="223"/>
      <c r="AM206" s="293"/>
      <c r="AN206" s="293"/>
      <c r="AO206" s="293"/>
      <c r="AP206" s="293"/>
      <c r="AQ206" s="293"/>
      <c r="AR206" s="293"/>
      <c r="AS206" s="293"/>
      <c r="AT206" s="293"/>
      <c r="AU206" s="293"/>
      <c r="AV206" s="293"/>
      <c r="AW206" s="293"/>
      <c r="AX206" s="293"/>
      <c r="AY206" s="293"/>
      <c r="AZ206" s="293"/>
      <c r="BA206" s="293"/>
      <c r="BB206" s="293"/>
      <c r="BC206" s="223"/>
      <c r="BD206" s="293"/>
      <c r="BE206" s="293"/>
      <c r="BF206" s="293"/>
      <c r="BG206" s="293"/>
      <c r="BH206" s="293"/>
      <c r="BI206" s="293"/>
      <c r="BJ206" s="293"/>
      <c r="BK206" s="293"/>
      <c r="BL206" s="293"/>
      <c r="BM206" s="293"/>
      <c r="BN206" s="293"/>
      <c r="BO206" s="293"/>
      <c r="BP206" s="293"/>
      <c r="BQ206" s="293"/>
      <c r="BR206" s="293"/>
      <c r="BS206" s="293"/>
      <c r="BT206" s="223"/>
      <c r="BU206" s="293"/>
      <c r="BV206" s="293"/>
      <c r="BW206" s="293"/>
      <c r="BX206" s="293"/>
      <c r="BY206" s="293"/>
      <c r="BZ206" s="293"/>
      <c r="CA206" s="293"/>
      <c r="CB206" s="293"/>
      <c r="CC206" s="293"/>
      <c r="CD206" s="293"/>
      <c r="CE206" s="293"/>
      <c r="CF206" s="293"/>
      <c r="CG206" s="293"/>
      <c r="CH206" s="293"/>
      <c r="CI206" s="293"/>
      <c r="CJ206" s="293"/>
    </row>
    <row r="207" spans="2:88" ht="17.5">
      <c r="B207" s="223"/>
      <c r="C207" s="319" t="str">
        <f>'C-sidumine'!D14</f>
        <v>Talinisu</v>
      </c>
      <c r="D207" s="75">
        <f>(O161-D161)/100*3.67</f>
        <v>-0.98712939145204925</v>
      </c>
      <c r="E207" s="75">
        <f t="shared" ref="E207:E226" si="329">(AF161-U161)/100*3.67</f>
        <v>-0.97153476965556562</v>
      </c>
      <c r="F207" s="75">
        <f t="shared" ref="F207:F226" si="330">(AW161-AL161)/100*3.67</f>
        <v>-0.96087844581762882</v>
      </c>
      <c r="G207" s="75">
        <f t="shared" ref="G207:G226" si="331">(BN161-BC161)/100*3.67</f>
        <v>-0.92802425746008621</v>
      </c>
      <c r="H207" s="75">
        <f t="shared" ref="H207:H226" si="332">(CE161-BT161)/100*3.67</f>
        <v>-0.83826602020042418</v>
      </c>
      <c r="I207" s="75"/>
      <c r="J207" t="e">
        <f>'C-sidumine'!E14*'C-sidumine'!$D$2/100</f>
        <v>#DIV/0!</v>
      </c>
      <c r="K207" t="e">
        <f>'C-sidumine'!E14*'C-sidumine'!$D$3/100</f>
        <v>#DIV/0!</v>
      </c>
      <c r="L207" t="e">
        <f>'C-sidumine'!E14*(('C-sidumine'!$D$5+'C-sidumine'!$D$4)/100)</f>
        <v>#DIV/0!</v>
      </c>
      <c r="M207" t="e">
        <f>'C-sidumine'!E14*'C-sidumine'!$D$6/100</f>
        <v>#DIV/0!</v>
      </c>
      <c r="N207" t="e">
        <f>'C-sidumine'!E14*'C-sidumine'!$D$7/100</f>
        <v>#DIV/0!</v>
      </c>
      <c r="Q207" s="75">
        <f>IFERROR(((D207*J207)+(E207*K207)+(F207*L207)+(G207*M207)+(H207*N207)),0)</f>
        <v>0</v>
      </c>
      <c r="R207" s="75">
        <f>IFERROR((Q207/SUM(J207:N207)),0)</f>
        <v>0</v>
      </c>
      <c r="T207" s="322">
        <f>SUMIF(Q207:Q226,"&lt;&gt;#N/A")</f>
        <v>0</v>
      </c>
      <c r="U207" t="e">
        <f>SUM(J207:N226)</f>
        <v>#DIV/0!</v>
      </c>
      <c r="V207" s="321">
        <f>IFERROR(T207/U207,0)</f>
        <v>0</v>
      </c>
      <c r="Z207" s="293"/>
      <c r="AA207" s="293"/>
      <c r="AB207" s="293"/>
      <c r="AC207" s="293"/>
      <c r="AD207" s="293"/>
      <c r="AE207" s="293"/>
      <c r="AF207" s="293"/>
      <c r="AG207" s="293"/>
      <c r="AH207" s="293"/>
      <c r="AI207" s="293"/>
      <c r="AJ207" s="293"/>
      <c r="AK207" s="293"/>
      <c r="AL207" s="223"/>
      <c r="AM207" s="293"/>
      <c r="AN207" s="293"/>
      <c r="AO207" s="293"/>
      <c r="AP207" s="293"/>
      <c r="AQ207" s="293"/>
      <c r="AR207" s="293"/>
      <c r="AS207" s="293"/>
      <c r="AT207" s="293"/>
      <c r="AU207" s="293"/>
      <c r="AV207" s="293"/>
      <c r="AW207" s="293"/>
      <c r="AX207" s="293"/>
      <c r="AY207" s="293"/>
      <c r="AZ207" s="293"/>
      <c r="BA207" s="293"/>
      <c r="BB207" s="293"/>
      <c r="BC207" s="223"/>
      <c r="BD207" s="293"/>
      <c r="BE207" s="293"/>
      <c r="BF207" s="293"/>
      <c r="BG207" s="293"/>
      <c r="BH207" s="293"/>
      <c r="BI207" s="293"/>
      <c r="BJ207" s="293"/>
      <c r="BK207" s="293"/>
      <c r="BL207" s="293"/>
      <c r="BM207" s="293"/>
      <c r="BN207" s="293"/>
      <c r="BO207" s="293"/>
      <c r="BP207" s="293"/>
      <c r="BQ207" s="293"/>
      <c r="BR207" s="293"/>
      <c r="BS207" s="293"/>
      <c r="BT207" s="223"/>
      <c r="BU207" s="293"/>
      <c r="BV207" s="293"/>
      <c r="BW207" s="293"/>
      <c r="BX207" s="293"/>
      <c r="BY207" s="293"/>
      <c r="BZ207" s="293"/>
      <c r="CA207" s="293"/>
      <c r="CB207" s="293"/>
      <c r="CC207" s="293"/>
      <c r="CD207" s="293"/>
      <c r="CE207" s="293"/>
      <c r="CF207" s="293"/>
      <c r="CG207" s="293"/>
      <c r="CH207" s="293"/>
      <c r="CI207" s="293"/>
      <c r="CJ207" s="293"/>
    </row>
    <row r="208" spans="2:88" ht="17.5">
      <c r="B208" s="223"/>
      <c r="C208" s="319">
        <f>'C-sidumine'!D15</f>
        <v>0</v>
      </c>
      <c r="D208" s="75">
        <f t="shared" ref="D208:D226" si="333">(O162-D162)/100*3.67</f>
        <v>-0.98712939145204925</v>
      </c>
      <c r="E208" s="75">
        <f t="shared" si="329"/>
        <v>-0.97153476965556562</v>
      </c>
      <c r="F208" s="75">
        <f t="shared" si="330"/>
        <v>-0.96087844581762882</v>
      </c>
      <c r="G208" s="75">
        <f t="shared" si="331"/>
        <v>-0.92802425746008621</v>
      </c>
      <c r="H208" s="75">
        <f t="shared" si="332"/>
        <v>-0.83826602020042418</v>
      </c>
      <c r="J208" t="e">
        <f>'C-sidumine'!E15*'C-sidumine'!$D$2/100</f>
        <v>#DIV/0!</v>
      </c>
      <c r="K208" t="e">
        <f>'C-sidumine'!E15*'C-sidumine'!$D$3/100</f>
        <v>#DIV/0!</v>
      </c>
      <c r="L208" t="e">
        <f>'C-sidumine'!E15*(('C-sidumine'!$D$5+'C-sidumine'!$D$4)/100)</f>
        <v>#DIV/0!</v>
      </c>
      <c r="M208" t="e">
        <f>'C-sidumine'!E15*'C-sidumine'!$D$6/100</f>
        <v>#DIV/0!</v>
      </c>
      <c r="N208" t="e">
        <f>'C-sidumine'!E15*'C-sidumine'!$D$7/100</f>
        <v>#DIV/0!</v>
      </c>
      <c r="Q208" s="75">
        <f t="shared" ref="Q208:Q246" si="334">IFERROR(((D208*J208)+(E208*K208)+(F208*L208)+(G208*M208)+(H208*N208)),0)</f>
        <v>0</v>
      </c>
      <c r="R208" s="75">
        <f t="shared" ref="R208:R246" si="335">IFERROR((Q208/SUM(J208:N208)),0)</f>
        <v>0</v>
      </c>
      <c r="Z208" s="293"/>
      <c r="AA208" s="293"/>
      <c r="AB208" s="293"/>
      <c r="AC208" s="293"/>
      <c r="AD208" s="293"/>
      <c r="AE208" s="293"/>
      <c r="AF208" s="293"/>
      <c r="AG208" s="293"/>
      <c r="AH208" s="293"/>
      <c r="AI208" s="293"/>
      <c r="AJ208" s="293"/>
      <c r="AK208" s="293"/>
      <c r="AL208" s="293"/>
      <c r="AM208" s="293"/>
      <c r="AN208" s="293"/>
      <c r="AO208" s="293"/>
      <c r="AP208" s="293"/>
      <c r="AQ208" s="293"/>
      <c r="AR208" s="293"/>
      <c r="AS208" s="293"/>
      <c r="AT208" s="293"/>
      <c r="AU208" s="293"/>
      <c r="AV208" s="293"/>
      <c r="AW208" s="293"/>
      <c r="AX208" s="293"/>
      <c r="AY208" s="293"/>
      <c r="AZ208" s="293"/>
      <c r="BA208" s="293"/>
      <c r="BB208" s="293"/>
      <c r="BC208" s="293"/>
      <c r="BD208" s="293"/>
      <c r="BE208" s="293"/>
      <c r="BF208" s="293"/>
      <c r="BG208" s="293"/>
      <c r="BH208" s="293"/>
      <c r="BI208" s="293"/>
      <c r="BJ208" s="293"/>
      <c r="BK208" s="293"/>
      <c r="BL208" s="293"/>
      <c r="BM208" s="293"/>
      <c r="BN208" s="293"/>
      <c r="BO208" s="293"/>
      <c r="BP208" s="293"/>
      <c r="BQ208" s="293"/>
      <c r="BR208" s="293"/>
      <c r="BS208" s="293"/>
      <c r="BT208" s="293"/>
      <c r="BU208" s="293"/>
      <c r="BV208" s="293"/>
      <c r="BW208" s="293"/>
      <c r="BX208" s="293"/>
      <c r="BY208" s="293"/>
      <c r="BZ208" s="293"/>
      <c r="CA208" s="293"/>
      <c r="CB208" s="293"/>
      <c r="CC208" s="293"/>
      <c r="CD208" s="293"/>
      <c r="CE208" s="293"/>
      <c r="CF208" s="293"/>
      <c r="CG208" s="293"/>
      <c r="CH208" s="293"/>
      <c r="CI208" s="293"/>
      <c r="CJ208" s="293"/>
    </row>
    <row r="209" spans="3:25" ht="15.5">
      <c r="C209" s="319">
        <f>'C-sidumine'!D16</f>
        <v>0</v>
      </c>
      <c r="D209" s="75">
        <f t="shared" si="333"/>
        <v>-0.98712939145204925</v>
      </c>
      <c r="E209" s="75">
        <f t="shared" si="329"/>
        <v>-0.97153476965556562</v>
      </c>
      <c r="F209" s="75">
        <f t="shared" si="330"/>
        <v>-0.96087844581762882</v>
      </c>
      <c r="G209" s="75">
        <f t="shared" si="331"/>
        <v>-0.92802425746008621</v>
      </c>
      <c r="H209" s="75">
        <f t="shared" si="332"/>
        <v>-0.83826602020042418</v>
      </c>
      <c r="J209" t="e">
        <f>'C-sidumine'!E16*'C-sidumine'!$D$2/100</f>
        <v>#DIV/0!</v>
      </c>
      <c r="K209" t="e">
        <f>'C-sidumine'!E16*'C-sidumine'!$D$3/100</f>
        <v>#DIV/0!</v>
      </c>
      <c r="L209" t="e">
        <f>'C-sidumine'!E16*(('C-sidumine'!$D$5+'C-sidumine'!$D$4)/100)</f>
        <v>#DIV/0!</v>
      </c>
      <c r="M209" t="e">
        <f>'C-sidumine'!E16*'C-sidumine'!$D$6/100</f>
        <v>#DIV/0!</v>
      </c>
      <c r="N209" t="e">
        <f>'C-sidumine'!E16*'C-sidumine'!$D$7/100</f>
        <v>#DIV/0!</v>
      </c>
      <c r="Q209" s="75">
        <f t="shared" si="334"/>
        <v>0</v>
      </c>
      <c r="R209" s="75">
        <f t="shared" si="335"/>
        <v>0</v>
      </c>
    </row>
    <row r="210" spans="3:25" ht="15.5">
      <c r="C210" s="319">
        <f>'C-sidumine'!D17</f>
        <v>0</v>
      </c>
      <c r="D210" s="75">
        <f t="shared" si="333"/>
        <v>-0.98712939145204925</v>
      </c>
      <c r="E210" s="75">
        <f t="shared" si="329"/>
        <v>-0.97153476965556562</v>
      </c>
      <c r="F210" s="75">
        <f t="shared" si="330"/>
        <v>-0.96087844581762882</v>
      </c>
      <c r="G210" s="75">
        <f t="shared" si="331"/>
        <v>-0.92802425746008621</v>
      </c>
      <c r="H210" s="75">
        <f t="shared" si="332"/>
        <v>-0.83826602020042418</v>
      </c>
      <c r="J210" t="e">
        <f>'C-sidumine'!E17*'C-sidumine'!$D$2/100</f>
        <v>#DIV/0!</v>
      </c>
      <c r="K210" t="e">
        <f>'C-sidumine'!E17*'C-sidumine'!$D$3/100</f>
        <v>#DIV/0!</v>
      </c>
      <c r="L210" t="e">
        <f>'C-sidumine'!E17*(('C-sidumine'!$D$5+'C-sidumine'!$D$4)/100)</f>
        <v>#DIV/0!</v>
      </c>
      <c r="M210" t="e">
        <f>'C-sidumine'!E17*'C-sidumine'!$D$6/100</f>
        <v>#DIV/0!</v>
      </c>
      <c r="N210" t="e">
        <f>'C-sidumine'!E17*'C-sidumine'!$D$7/100</f>
        <v>#DIV/0!</v>
      </c>
      <c r="Q210" s="75">
        <f t="shared" si="334"/>
        <v>0</v>
      </c>
      <c r="R210" s="75">
        <f t="shared" si="335"/>
        <v>0</v>
      </c>
    </row>
    <row r="211" spans="3:25" ht="15.5">
      <c r="C211" s="319">
        <f>'C-sidumine'!D18</f>
        <v>0</v>
      </c>
      <c r="D211" s="75">
        <f t="shared" si="333"/>
        <v>-0.98712939145204925</v>
      </c>
      <c r="E211" s="75">
        <f t="shared" si="329"/>
        <v>-0.97153476965556562</v>
      </c>
      <c r="F211" s="75">
        <f t="shared" si="330"/>
        <v>-0.96087844581762882</v>
      </c>
      <c r="G211" s="75">
        <f t="shared" si="331"/>
        <v>-0.92802425746008621</v>
      </c>
      <c r="H211" s="75">
        <f t="shared" si="332"/>
        <v>-0.83826602020042418</v>
      </c>
      <c r="J211" t="e">
        <f>'C-sidumine'!E18*'C-sidumine'!$D$2/100</f>
        <v>#DIV/0!</v>
      </c>
      <c r="K211" t="e">
        <f>'C-sidumine'!E18*'C-sidumine'!$D$3/100</f>
        <v>#DIV/0!</v>
      </c>
      <c r="L211" t="e">
        <f>'C-sidumine'!E18*(('C-sidumine'!$D$5+'C-sidumine'!$D$4)/100)</f>
        <v>#DIV/0!</v>
      </c>
      <c r="M211" t="e">
        <f>'C-sidumine'!E18*'C-sidumine'!$D$6/100</f>
        <v>#DIV/0!</v>
      </c>
      <c r="N211" t="e">
        <f>'C-sidumine'!E18*'C-sidumine'!$D$7/100</f>
        <v>#DIV/0!</v>
      </c>
      <c r="Q211" s="75">
        <f t="shared" si="334"/>
        <v>0</v>
      </c>
      <c r="R211" s="75">
        <f t="shared" si="335"/>
        <v>0</v>
      </c>
    </row>
    <row r="212" spans="3:25" ht="15.5">
      <c r="C212" s="319">
        <f>'C-sidumine'!D19</f>
        <v>0</v>
      </c>
      <c r="D212" s="75">
        <f t="shared" si="333"/>
        <v>-0.98712939145204925</v>
      </c>
      <c r="E212" s="75">
        <f t="shared" si="329"/>
        <v>-0.97153476965556562</v>
      </c>
      <c r="F212" s="75">
        <f t="shared" si="330"/>
        <v>-0.96087844581762882</v>
      </c>
      <c r="G212" s="75">
        <f t="shared" si="331"/>
        <v>-0.92802425746008621</v>
      </c>
      <c r="H212" s="75">
        <f t="shared" si="332"/>
        <v>-0.83826602020042418</v>
      </c>
      <c r="J212" t="e">
        <f>'C-sidumine'!E19*'C-sidumine'!$D$2/100</f>
        <v>#DIV/0!</v>
      </c>
      <c r="K212" t="e">
        <f>'C-sidumine'!E19*'C-sidumine'!$D$3/100</f>
        <v>#DIV/0!</v>
      </c>
      <c r="L212" t="e">
        <f>'C-sidumine'!E19*(('C-sidumine'!$D$5+'C-sidumine'!$D$4)/100)</f>
        <v>#DIV/0!</v>
      </c>
      <c r="M212" t="e">
        <f>'C-sidumine'!E19*'C-sidumine'!$D$6/100</f>
        <v>#DIV/0!</v>
      </c>
      <c r="N212" t="e">
        <f>'C-sidumine'!E19*'C-sidumine'!$D$7/100</f>
        <v>#DIV/0!</v>
      </c>
      <c r="Q212" s="75">
        <f t="shared" si="334"/>
        <v>0</v>
      </c>
      <c r="R212" s="75">
        <f t="shared" si="335"/>
        <v>0</v>
      </c>
      <c r="V212" s="75"/>
    </row>
    <row r="213" spans="3:25" ht="15.5">
      <c r="C213" s="319">
        <f>'C-sidumine'!D20</f>
        <v>0</v>
      </c>
      <c r="D213" s="75">
        <f t="shared" si="333"/>
        <v>-0.98712939145204925</v>
      </c>
      <c r="E213" s="75">
        <f t="shared" si="329"/>
        <v>-0.97153476965556562</v>
      </c>
      <c r="F213" s="75">
        <f t="shared" si="330"/>
        <v>-0.96087844581762882</v>
      </c>
      <c r="G213" s="75">
        <f t="shared" si="331"/>
        <v>-0.92802425746008621</v>
      </c>
      <c r="H213" s="75">
        <f t="shared" si="332"/>
        <v>-0.83826602020042418</v>
      </c>
      <c r="J213" t="e">
        <f>'C-sidumine'!E20*'C-sidumine'!$D$2/100</f>
        <v>#DIV/0!</v>
      </c>
      <c r="K213" t="e">
        <f>'C-sidumine'!E20*'C-sidumine'!$D$3/100</f>
        <v>#DIV/0!</v>
      </c>
      <c r="L213" t="e">
        <f>'C-sidumine'!E20*(('C-sidumine'!$D$5+'C-sidumine'!$D$4)/100)</f>
        <v>#DIV/0!</v>
      </c>
      <c r="M213" t="e">
        <f>'C-sidumine'!E20*'C-sidumine'!$D$6/100</f>
        <v>#DIV/0!</v>
      </c>
      <c r="N213" t="e">
        <f>'C-sidumine'!E20*'C-sidumine'!$D$7/100</f>
        <v>#DIV/0!</v>
      </c>
      <c r="Q213" s="75">
        <f t="shared" si="334"/>
        <v>0</v>
      </c>
      <c r="R213" s="75">
        <f t="shared" si="335"/>
        <v>0</v>
      </c>
      <c r="Y213" t="s">
        <v>1223</v>
      </c>
    </row>
    <row r="214" spans="3:25" ht="15.5">
      <c r="C214" s="319">
        <f>'C-sidumine'!D21</f>
        <v>0</v>
      </c>
      <c r="D214" s="75">
        <f t="shared" si="333"/>
        <v>-0.98712939145204925</v>
      </c>
      <c r="E214" s="75">
        <f t="shared" si="329"/>
        <v>-0.97153476965556562</v>
      </c>
      <c r="F214" s="75">
        <f t="shared" si="330"/>
        <v>-0.96087844581762882</v>
      </c>
      <c r="G214" s="75">
        <f t="shared" si="331"/>
        <v>-0.92802425746008621</v>
      </c>
      <c r="H214" s="75">
        <f t="shared" si="332"/>
        <v>-0.83826602020042418</v>
      </c>
      <c r="J214" t="e">
        <f>'C-sidumine'!E21*'C-sidumine'!$D$2/100</f>
        <v>#DIV/0!</v>
      </c>
      <c r="K214" t="e">
        <f>'C-sidumine'!E21*'C-sidumine'!$D$3/100</f>
        <v>#DIV/0!</v>
      </c>
      <c r="L214" t="e">
        <f>'C-sidumine'!E21*(('C-sidumine'!$D$5+'C-sidumine'!$D$4)/100)</f>
        <v>#DIV/0!</v>
      </c>
      <c r="M214" t="e">
        <f>'C-sidumine'!E21*'C-sidumine'!$D$6/100</f>
        <v>#DIV/0!</v>
      </c>
      <c r="N214" t="e">
        <f>'C-sidumine'!E21*'C-sidumine'!$D$7/100</f>
        <v>#DIV/0!</v>
      </c>
      <c r="Q214" s="75">
        <f t="shared" si="334"/>
        <v>0</v>
      </c>
      <c r="R214" s="75">
        <f t="shared" si="335"/>
        <v>0</v>
      </c>
      <c r="Y214" s="75" t="e">
        <f>SUM(T207,#REF!)/SUM(U207,#REF!)</f>
        <v>#REF!</v>
      </c>
    </row>
    <row r="215" spans="3:25" ht="15.5">
      <c r="C215" s="319">
        <f>'C-sidumine'!D22</f>
        <v>0</v>
      </c>
      <c r="D215" s="75">
        <f t="shared" si="333"/>
        <v>-0.98712939145204925</v>
      </c>
      <c r="E215" s="75">
        <f t="shared" si="329"/>
        <v>-0.97153476965556562</v>
      </c>
      <c r="F215" s="75">
        <f t="shared" si="330"/>
        <v>-0.96087844581762882</v>
      </c>
      <c r="G215" s="75">
        <f t="shared" si="331"/>
        <v>-0.92802425746008621</v>
      </c>
      <c r="H215" s="75">
        <f t="shared" si="332"/>
        <v>-0.83826602020042418</v>
      </c>
      <c r="J215" t="e">
        <f>'C-sidumine'!E22*'C-sidumine'!$D$2/100</f>
        <v>#DIV/0!</v>
      </c>
      <c r="K215" t="e">
        <f>'C-sidumine'!E22*'C-sidumine'!$D$3/100</f>
        <v>#DIV/0!</v>
      </c>
      <c r="L215" t="e">
        <f>'C-sidumine'!E22*(('C-sidumine'!$D$5+'C-sidumine'!$D$4)/100)</f>
        <v>#DIV/0!</v>
      </c>
      <c r="M215" t="e">
        <f>'C-sidumine'!E22*'C-sidumine'!$D$6/100</f>
        <v>#DIV/0!</v>
      </c>
      <c r="N215" t="e">
        <f>'C-sidumine'!E22*'C-sidumine'!$D$7/100</f>
        <v>#DIV/0!</v>
      </c>
      <c r="Q215" s="75">
        <f t="shared" si="334"/>
        <v>0</v>
      </c>
      <c r="R215" s="75">
        <f t="shared" si="335"/>
        <v>0</v>
      </c>
    </row>
    <row r="216" spans="3:25" ht="15.5">
      <c r="C216" s="319">
        <f>'C-sidumine'!D23</f>
        <v>0</v>
      </c>
      <c r="D216" s="75">
        <f t="shared" si="333"/>
        <v>-0.98712939145204925</v>
      </c>
      <c r="E216" s="75">
        <f t="shared" si="329"/>
        <v>-0.97153476965556562</v>
      </c>
      <c r="F216" s="75">
        <f t="shared" si="330"/>
        <v>-0.96087844581762882</v>
      </c>
      <c r="G216" s="75">
        <f t="shared" si="331"/>
        <v>-0.92802425746008621</v>
      </c>
      <c r="H216" s="75">
        <f t="shared" si="332"/>
        <v>-0.83826602020042418</v>
      </c>
      <c r="J216" t="e">
        <f>'C-sidumine'!E23*'C-sidumine'!$D$2/100</f>
        <v>#DIV/0!</v>
      </c>
      <c r="K216" t="e">
        <f>'C-sidumine'!E23*'C-sidumine'!$D$3/100</f>
        <v>#DIV/0!</v>
      </c>
      <c r="L216" t="e">
        <f>'C-sidumine'!E23*(('C-sidumine'!$D$5+'C-sidumine'!$D$4)/100)</f>
        <v>#DIV/0!</v>
      </c>
      <c r="M216" t="e">
        <f>'C-sidumine'!E23*'C-sidumine'!$D$6/100</f>
        <v>#DIV/0!</v>
      </c>
      <c r="N216" t="e">
        <f>'C-sidumine'!E23*'C-sidumine'!$D$7/100</f>
        <v>#DIV/0!</v>
      </c>
      <c r="Q216" s="75">
        <f t="shared" si="334"/>
        <v>0</v>
      </c>
      <c r="R216" s="75">
        <f t="shared" si="335"/>
        <v>0</v>
      </c>
    </row>
    <row r="217" spans="3:25" ht="15.5">
      <c r="C217" s="319">
        <f>'C-sidumine'!D24</f>
        <v>0</v>
      </c>
      <c r="D217" s="75">
        <f t="shared" si="333"/>
        <v>-0.98712939145204925</v>
      </c>
      <c r="E217" s="75">
        <f t="shared" si="329"/>
        <v>-0.97153476965556562</v>
      </c>
      <c r="F217" s="75">
        <f t="shared" si="330"/>
        <v>-0.96087844581762882</v>
      </c>
      <c r="G217" s="75">
        <f t="shared" si="331"/>
        <v>-0.92802425746008621</v>
      </c>
      <c r="H217" s="75">
        <f t="shared" si="332"/>
        <v>-0.83826602020042418</v>
      </c>
      <c r="J217" t="e">
        <f>'C-sidumine'!E24*'C-sidumine'!$D$2/100</f>
        <v>#DIV/0!</v>
      </c>
      <c r="K217" t="e">
        <f>'C-sidumine'!E24*'C-sidumine'!$D$3/100</f>
        <v>#DIV/0!</v>
      </c>
      <c r="L217" t="e">
        <f>'C-sidumine'!E24*(('C-sidumine'!$D$5+'C-sidumine'!$D$4)/100)</f>
        <v>#DIV/0!</v>
      </c>
      <c r="M217" t="e">
        <f>'C-sidumine'!E24*'C-sidumine'!$D$6/100</f>
        <v>#DIV/0!</v>
      </c>
      <c r="N217" t="e">
        <f>'C-sidumine'!E24*'C-sidumine'!$D$7/100</f>
        <v>#DIV/0!</v>
      </c>
      <c r="Q217" s="75">
        <f t="shared" si="334"/>
        <v>0</v>
      </c>
      <c r="R217" s="75">
        <f t="shared" si="335"/>
        <v>0</v>
      </c>
    </row>
    <row r="218" spans="3:25" ht="15.5">
      <c r="C218" s="319">
        <f>'C-sidumine'!D25</f>
        <v>0</v>
      </c>
      <c r="D218" s="75">
        <f t="shared" si="333"/>
        <v>-0.98712939145204925</v>
      </c>
      <c r="E218" s="75">
        <f t="shared" si="329"/>
        <v>-0.97153476965556562</v>
      </c>
      <c r="F218" s="75">
        <f t="shared" si="330"/>
        <v>-0.96087844581762882</v>
      </c>
      <c r="G218" s="75">
        <f t="shared" si="331"/>
        <v>-0.92802425746008621</v>
      </c>
      <c r="H218" s="75">
        <f t="shared" si="332"/>
        <v>-0.83826602020042418</v>
      </c>
      <c r="J218" t="e">
        <f>'C-sidumine'!E25*'C-sidumine'!$D$2/100</f>
        <v>#DIV/0!</v>
      </c>
      <c r="K218" t="e">
        <f>'C-sidumine'!E25*'C-sidumine'!$D$3/100</f>
        <v>#DIV/0!</v>
      </c>
      <c r="L218" t="e">
        <f>'C-sidumine'!E25*(('C-sidumine'!$D$5+'C-sidumine'!$D$4)/100)</f>
        <v>#DIV/0!</v>
      </c>
      <c r="M218" t="e">
        <f>'C-sidumine'!E25*'C-sidumine'!$D$6/100</f>
        <v>#DIV/0!</v>
      </c>
      <c r="N218" t="e">
        <f>'C-sidumine'!E25*'C-sidumine'!$D$7/100</f>
        <v>#DIV/0!</v>
      </c>
      <c r="Q218" s="75">
        <f t="shared" si="334"/>
        <v>0</v>
      </c>
      <c r="R218" s="75">
        <f t="shared" si="335"/>
        <v>0</v>
      </c>
    </row>
    <row r="219" spans="3:25" ht="15.5">
      <c r="C219" s="319">
        <f>'C-sidumine'!D26</f>
        <v>0</v>
      </c>
      <c r="D219" s="75">
        <f t="shared" si="333"/>
        <v>-0.98712939145204925</v>
      </c>
      <c r="E219" s="75">
        <f t="shared" si="329"/>
        <v>-0.97153476965556562</v>
      </c>
      <c r="F219" s="75">
        <f t="shared" si="330"/>
        <v>-0.96087844581762882</v>
      </c>
      <c r="G219" s="75">
        <f t="shared" si="331"/>
        <v>-0.92802425746008621</v>
      </c>
      <c r="H219" s="75">
        <f t="shared" si="332"/>
        <v>-0.83826602020042418</v>
      </c>
      <c r="J219" t="e">
        <f>'C-sidumine'!E26*'C-sidumine'!$D$2/100</f>
        <v>#DIV/0!</v>
      </c>
      <c r="K219" t="e">
        <f>'C-sidumine'!E26*'C-sidumine'!$D$3/100</f>
        <v>#DIV/0!</v>
      </c>
      <c r="L219" t="e">
        <f>'C-sidumine'!E26*(('C-sidumine'!$D$5+'C-sidumine'!$D$4)/100)</f>
        <v>#DIV/0!</v>
      </c>
      <c r="M219" t="e">
        <f>'C-sidumine'!E26*'C-sidumine'!$D$6/100</f>
        <v>#DIV/0!</v>
      </c>
      <c r="N219" t="e">
        <f>'C-sidumine'!E26*'C-sidumine'!$D$7/100</f>
        <v>#DIV/0!</v>
      </c>
      <c r="Q219" s="75">
        <f t="shared" si="334"/>
        <v>0</v>
      </c>
      <c r="R219" s="75">
        <f t="shared" si="335"/>
        <v>0</v>
      </c>
    </row>
    <row r="220" spans="3:25" ht="15.5">
      <c r="C220" s="319">
        <f>'C-sidumine'!D27</f>
        <v>0</v>
      </c>
      <c r="D220" s="75">
        <f t="shared" si="333"/>
        <v>-0.98712939145204925</v>
      </c>
      <c r="E220" s="75">
        <f t="shared" si="329"/>
        <v>-0.97153476965556562</v>
      </c>
      <c r="F220" s="75">
        <f t="shared" si="330"/>
        <v>-0.96087844581762882</v>
      </c>
      <c r="G220" s="75">
        <f t="shared" si="331"/>
        <v>-0.92802425746008621</v>
      </c>
      <c r="H220" s="75">
        <f t="shared" si="332"/>
        <v>-0.83826602020042418</v>
      </c>
      <c r="J220" t="e">
        <f>'C-sidumine'!E27*'C-sidumine'!$D$2/100</f>
        <v>#DIV/0!</v>
      </c>
      <c r="K220" t="e">
        <f>'C-sidumine'!E27*'C-sidumine'!$D$3/100</f>
        <v>#DIV/0!</v>
      </c>
      <c r="L220" t="e">
        <f>'C-sidumine'!E27*(('C-sidumine'!$D$5+'C-sidumine'!$D$4)/100)</f>
        <v>#DIV/0!</v>
      </c>
      <c r="M220" t="e">
        <f>'C-sidumine'!E27*'C-sidumine'!$D$6/100</f>
        <v>#DIV/0!</v>
      </c>
      <c r="N220" t="e">
        <f>'C-sidumine'!E27*'C-sidumine'!$D$7/100</f>
        <v>#DIV/0!</v>
      </c>
      <c r="Q220" s="75">
        <f t="shared" si="334"/>
        <v>0</v>
      </c>
      <c r="R220" s="75">
        <f t="shared" si="335"/>
        <v>0</v>
      </c>
    </row>
    <row r="221" spans="3:25" ht="15.5">
      <c r="C221" s="319">
        <f>'C-sidumine'!D28</f>
        <v>0</v>
      </c>
      <c r="D221" s="75">
        <f t="shared" si="333"/>
        <v>-0.98712939145204925</v>
      </c>
      <c r="E221" s="75">
        <f t="shared" si="329"/>
        <v>-0.97153476965556562</v>
      </c>
      <c r="F221" s="75">
        <f t="shared" si="330"/>
        <v>-0.96087844581762882</v>
      </c>
      <c r="G221" s="75">
        <f t="shared" si="331"/>
        <v>-0.92802425746008621</v>
      </c>
      <c r="H221" s="75">
        <f t="shared" si="332"/>
        <v>-0.83826602020042418</v>
      </c>
      <c r="J221" t="e">
        <f>'C-sidumine'!E28*'C-sidumine'!$D$2/100</f>
        <v>#DIV/0!</v>
      </c>
      <c r="K221" t="e">
        <f>'C-sidumine'!E28*'C-sidumine'!$D$3/100</f>
        <v>#DIV/0!</v>
      </c>
      <c r="L221" t="e">
        <f>'C-sidumine'!E28*(('C-sidumine'!$D$5+'C-sidumine'!$D$4)/100)</f>
        <v>#DIV/0!</v>
      </c>
      <c r="M221" t="e">
        <f>'C-sidumine'!E28*'C-sidumine'!$D$6/100</f>
        <v>#DIV/0!</v>
      </c>
      <c r="N221" t="e">
        <f>'C-sidumine'!E28*'C-sidumine'!$D$7/100</f>
        <v>#DIV/0!</v>
      </c>
      <c r="Q221" s="75">
        <f t="shared" si="334"/>
        <v>0</v>
      </c>
      <c r="R221" s="75">
        <f t="shared" si="335"/>
        <v>0</v>
      </c>
    </row>
    <row r="222" spans="3:25" ht="15.5">
      <c r="C222" s="319">
        <f>'C-sidumine'!D29</f>
        <v>0</v>
      </c>
      <c r="D222" s="75">
        <f t="shared" si="333"/>
        <v>-0.98712939145204925</v>
      </c>
      <c r="E222" s="75">
        <f t="shared" si="329"/>
        <v>-0.97153476965556562</v>
      </c>
      <c r="F222" s="75">
        <f t="shared" si="330"/>
        <v>-0.96087844581762882</v>
      </c>
      <c r="G222" s="75">
        <f t="shared" si="331"/>
        <v>-0.92802425746008621</v>
      </c>
      <c r="H222" s="75">
        <f t="shared" si="332"/>
        <v>-0.83826602020042418</v>
      </c>
      <c r="J222" t="e">
        <f>'C-sidumine'!E29*'C-sidumine'!$D$2/100</f>
        <v>#DIV/0!</v>
      </c>
      <c r="K222" t="e">
        <f>'C-sidumine'!E29*'C-sidumine'!$D$3/100</f>
        <v>#DIV/0!</v>
      </c>
      <c r="L222" t="e">
        <f>'C-sidumine'!E29*(('C-sidumine'!$D$5+'C-sidumine'!$D$4)/100)</f>
        <v>#DIV/0!</v>
      </c>
      <c r="M222" t="e">
        <f>'C-sidumine'!E29*'C-sidumine'!$D$6/100</f>
        <v>#DIV/0!</v>
      </c>
      <c r="N222" t="e">
        <f>'C-sidumine'!E29*'C-sidumine'!$D$7/100</f>
        <v>#DIV/0!</v>
      </c>
      <c r="Q222" s="75">
        <f t="shared" si="334"/>
        <v>0</v>
      </c>
      <c r="R222" s="75">
        <f t="shared" si="335"/>
        <v>0</v>
      </c>
    </row>
    <row r="223" spans="3:25" ht="15.5">
      <c r="C223" s="319">
        <f>'C-sidumine'!D30</f>
        <v>0</v>
      </c>
      <c r="D223" s="75">
        <f t="shared" si="333"/>
        <v>-0.98712939145204925</v>
      </c>
      <c r="E223" s="75">
        <f t="shared" si="329"/>
        <v>-0.97153476965556562</v>
      </c>
      <c r="F223" s="75">
        <f t="shared" si="330"/>
        <v>-0.96087844581762882</v>
      </c>
      <c r="G223" s="75">
        <f t="shared" si="331"/>
        <v>-0.92802425746008621</v>
      </c>
      <c r="H223" s="75">
        <f t="shared" si="332"/>
        <v>-0.83826602020042418</v>
      </c>
      <c r="J223" t="e">
        <f>'C-sidumine'!E30*'C-sidumine'!$D$2/100</f>
        <v>#DIV/0!</v>
      </c>
      <c r="K223" t="e">
        <f>'C-sidumine'!E30*'C-sidumine'!$D$3/100</f>
        <v>#DIV/0!</v>
      </c>
      <c r="L223" t="e">
        <f>'C-sidumine'!E30*(('C-sidumine'!$D$5+'C-sidumine'!$D$4)/100)</f>
        <v>#DIV/0!</v>
      </c>
      <c r="M223" t="e">
        <f>'C-sidumine'!E30*'C-sidumine'!$D$6/100</f>
        <v>#DIV/0!</v>
      </c>
      <c r="N223" t="e">
        <f>'C-sidumine'!E30*'C-sidumine'!$D$7/100</f>
        <v>#DIV/0!</v>
      </c>
      <c r="Q223" s="75">
        <f t="shared" si="334"/>
        <v>0</v>
      </c>
      <c r="R223" s="75">
        <f t="shared" si="335"/>
        <v>0</v>
      </c>
    </row>
    <row r="224" spans="3:25" ht="15.5">
      <c r="C224" s="319">
        <f>'C-sidumine'!D31</f>
        <v>0</v>
      </c>
      <c r="D224" s="75">
        <f t="shared" si="333"/>
        <v>-0.98712939145204925</v>
      </c>
      <c r="E224" s="75">
        <f t="shared" si="329"/>
        <v>-0.97153476965556562</v>
      </c>
      <c r="F224" s="75">
        <f t="shared" si="330"/>
        <v>-0.96087844581762882</v>
      </c>
      <c r="G224" s="75">
        <f t="shared" si="331"/>
        <v>-0.92802425746008621</v>
      </c>
      <c r="H224" s="75">
        <f t="shared" si="332"/>
        <v>-0.83826602020042418</v>
      </c>
      <c r="J224" t="e">
        <f>'C-sidumine'!E31*'C-sidumine'!$D$2/100</f>
        <v>#DIV/0!</v>
      </c>
      <c r="K224" t="e">
        <f>'C-sidumine'!E31*'C-sidumine'!$D$3/100</f>
        <v>#DIV/0!</v>
      </c>
      <c r="L224" t="e">
        <f>'C-sidumine'!E31*(('C-sidumine'!$D$5+'C-sidumine'!$D$4)/100)</f>
        <v>#DIV/0!</v>
      </c>
      <c r="M224" t="e">
        <f>'C-sidumine'!E31*'C-sidumine'!$D$6/100</f>
        <v>#DIV/0!</v>
      </c>
      <c r="N224" t="e">
        <f>'C-sidumine'!E31*'C-sidumine'!$D$7/100</f>
        <v>#DIV/0!</v>
      </c>
      <c r="Q224" s="75">
        <f t="shared" si="334"/>
        <v>0</v>
      </c>
      <c r="R224" s="75">
        <f t="shared" si="335"/>
        <v>0</v>
      </c>
    </row>
    <row r="225" spans="3:18" ht="15.5">
      <c r="C225" s="319">
        <f>'C-sidumine'!D32</f>
        <v>0</v>
      </c>
      <c r="D225" s="75">
        <f t="shared" si="333"/>
        <v>-0.98712939145204925</v>
      </c>
      <c r="E225" s="75">
        <f t="shared" si="329"/>
        <v>-0.97153476965556562</v>
      </c>
      <c r="F225" s="75">
        <f t="shared" si="330"/>
        <v>-0.96087844581762882</v>
      </c>
      <c r="G225" s="75">
        <f t="shared" si="331"/>
        <v>-0.92802425746008621</v>
      </c>
      <c r="H225" s="75">
        <f t="shared" si="332"/>
        <v>-0.83826602020042418</v>
      </c>
      <c r="J225" t="e">
        <f>'C-sidumine'!E32*'C-sidumine'!$D$2/100</f>
        <v>#DIV/0!</v>
      </c>
      <c r="K225" t="e">
        <f>'C-sidumine'!E32*'C-sidumine'!$D$3/100</f>
        <v>#DIV/0!</v>
      </c>
      <c r="L225" t="e">
        <f>'C-sidumine'!E32*(('C-sidumine'!$D$5+'C-sidumine'!$D$4)/100)</f>
        <v>#DIV/0!</v>
      </c>
      <c r="M225" t="e">
        <f>'C-sidumine'!E32*'C-sidumine'!$D$6/100</f>
        <v>#DIV/0!</v>
      </c>
      <c r="N225" t="e">
        <f>'C-sidumine'!E32*'C-sidumine'!$D$7/100</f>
        <v>#DIV/0!</v>
      </c>
      <c r="Q225" s="75">
        <f t="shared" si="334"/>
        <v>0</v>
      </c>
      <c r="R225" s="75">
        <f t="shared" si="335"/>
        <v>0</v>
      </c>
    </row>
    <row r="226" spans="3:18" ht="15.5">
      <c r="C226" s="319">
        <f>'C-sidumine'!D33</f>
        <v>0</v>
      </c>
      <c r="D226" s="75">
        <f t="shared" si="333"/>
        <v>-0.98712939145204925</v>
      </c>
      <c r="E226" s="75">
        <f t="shared" si="329"/>
        <v>-0.97153476965556562</v>
      </c>
      <c r="F226" s="75">
        <f t="shared" si="330"/>
        <v>-0.96087844581762882</v>
      </c>
      <c r="G226" s="75">
        <f t="shared" si="331"/>
        <v>-0.92802425746008621</v>
      </c>
      <c r="H226" s="75">
        <f t="shared" si="332"/>
        <v>-0.83826602020042418</v>
      </c>
      <c r="J226" t="e">
        <f>'C-sidumine'!E33*'C-sidumine'!$D$2/100</f>
        <v>#DIV/0!</v>
      </c>
      <c r="K226" t="e">
        <f>'C-sidumine'!E33*'C-sidumine'!$D$3/100</f>
        <v>#DIV/0!</v>
      </c>
      <c r="L226" t="e">
        <f>'C-sidumine'!E33*(('C-sidumine'!$D$5+'C-sidumine'!$D$4)/100)</f>
        <v>#DIV/0!</v>
      </c>
      <c r="M226" t="e">
        <f>'C-sidumine'!E33*'C-sidumine'!$D$6/100</f>
        <v>#DIV/0!</v>
      </c>
      <c r="N226" t="e">
        <f>'C-sidumine'!E33*'C-sidumine'!$D$7/100</f>
        <v>#DIV/0!</v>
      </c>
      <c r="Q226" s="75">
        <f t="shared" si="334"/>
        <v>0</v>
      </c>
      <c r="R226" s="75">
        <f t="shared" si="335"/>
        <v>0</v>
      </c>
    </row>
    <row r="227" spans="3:18" ht="15.5">
      <c r="C227" s="319">
        <f>'C-sidumine'!D37</f>
        <v>0</v>
      </c>
      <c r="D227" s="75">
        <f t="shared" ref="D227:D245" si="336">(O181-D181)/100*3.67</f>
        <v>-0.98712939145204925</v>
      </c>
      <c r="E227" s="75">
        <f t="shared" ref="E227:E245" si="337">(AF181-U181)/100*3.67</f>
        <v>-0.97153476965556562</v>
      </c>
      <c r="F227" s="75">
        <f t="shared" ref="F227:F245" si="338">(AW181-AL181)/100*3.67</f>
        <v>-0.96087844581762882</v>
      </c>
      <c r="G227" s="75">
        <f t="shared" ref="G227:G245" si="339">(BN181-BC181)/100*3.67</f>
        <v>-0.92802425746008621</v>
      </c>
      <c r="H227" s="75">
        <f t="shared" ref="H227:H245" si="340">(CE181-BT181)/100*3.67</f>
        <v>-0.83826602020042418</v>
      </c>
      <c r="J227" t="e">
        <f>'C-sidumine'!E37*'C-sidumine'!$D$2/100</f>
        <v>#DIV/0!</v>
      </c>
      <c r="K227" t="e">
        <f>'C-sidumine'!E37*'C-sidumine'!$D$3/100</f>
        <v>#DIV/0!</v>
      </c>
      <c r="L227" t="e">
        <f>'C-sidumine'!E37*(('C-sidumine'!$D$5+'C-sidumine'!$D$4)/100)</f>
        <v>#DIV/0!</v>
      </c>
      <c r="M227" t="e">
        <f>'C-sidumine'!E37*'C-sidumine'!$D$6/100</f>
        <v>#DIV/0!</v>
      </c>
      <c r="N227" t="e">
        <f>'C-sidumine'!E37*'C-sidumine'!$D$7/100</f>
        <v>#DIV/0!</v>
      </c>
      <c r="Q227" s="75">
        <f t="shared" si="334"/>
        <v>0</v>
      </c>
      <c r="R227" s="75">
        <f t="shared" si="335"/>
        <v>0</v>
      </c>
    </row>
    <row r="228" spans="3:18" ht="15.5">
      <c r="C228" s="319">
        <f>'C-sidumine'!D38</f>
        <v>0</v>
      </c>
      <c r="D228" s="75">
        <f t="shared" si="336"/>
        <v>-0.98712939145204925</v>
      </c>
      <c r="E228" s="75">
        <f t="shared" si="337"/>
        <v>-0.97153476965556562</v>
      </c>
      <c r="F228" s="75">
        <f t="shared" si="338"/>
        <v>-0.96087844581762882</v>
      </c>
      <c r="G228" s="75">
        <f t="shared" si="339"/>
        <v>-0.92802425746008621</v>
      </c>
      <c r="H228" s="75">
        <f t="shared" si="340"/>
        <v>-0.83826602020042418</v>
      </c>
      <c r="J228" t="e">
        <f>'C-sidumine'!E38*'C-sidumine'!$D$2/100</f>
        <v>#DIV/0!</v>
      </c>
      <c r="K228" t="e">
        <f>'C-sidumine'!E38*'C-sidumine'!$D$3/100</f>
        <v>#DIV/0!</v>
      </c>
      <c r="L228" t="e">
        <f>'C-sidumine'!E38*(('C-sidumine'!$D$5+'C-sidumine'!$D$4)/100)</f>
        <v>#DIV/0!</v>
      </c>
      <c r="M228" t="e">
        <f>'C-sidumine'!E38*'C-sidumine'!$D$6/100</f>
        <v>#DIV/0!</v>
      </c>
      <c r="N228" t="e">
        <f>'C-sidumine'!E38*'C-sidumine'!$D$7/100</f>
        <v>#DIV/0!</v>
      </c>
      <c r="Q228" s="75">
        <f t="shared" si="334"/>
        <v>0</v>
      </c>
      <c r="R228" s="75">
        <f t="shared" si="335"/>
        <v>0</v>
      </c>
    </row>
    <row r="229" spans="3:18" ht="15.5">
      <c r="C229" s="319">
        <f>'C-sidumine'!D39</f>
        <v>0</v>
      </c>
      <c r="D229" s="75">
        <f t="shared" si="336"/>
        <v>-0.98712939145204925</v>
      </c>
      <c r="E229" s="75">
        <f t="shared" si="337"/>
        <v>-0.97153476965556562</v>
      </c>
      <c r="F229" s="75">
        <f t="shared" si="338"/>
        <v>-0.96087844581762882</v>
      </c>
      <c r="G229" s="75">
        <f t="shared" si="339"/>
        <v>-0.92802425746008621</v>
      </c>
      <c r="H229" s="75">
        <f t="shared" si="340"/>
        <v>-0.83826602020042418</v>
      </c>
      <c r="J229" t="e">
        <f>'C-sidumine'!E39*'C-sidumine'!$D$2/100</f>
        <v>#DIV/0!</v>
      </c>
      <c r="K229" t="e">
        <f>'C-sidumine'!E39*'C-sidumine'!$D$3/100</f>
        <v>#DIV/0!</v>
      </c>
      <c r="L229" t="e">
        <f>'C-sidumine'!E39*(('C-sidumine'!$D$5+'C-sidumine'!$D$4)/100)</f>
        <v>#DIV/0!</v>
      </c>
      <c r="M229" t="e">
        <f>'C-sidumine'!E39*'C-sidumine'!$D$6/100</f>
        <v>#DIV/0!</v>
      </c>
      <c r="N229" t="e">
        <f>'C-sidumine'!E39*'C-sidumine'!$D$7/100</f>
        <v>#DIV/0!</v>
      </c>
      <c r="Q229" s="75">
        <f t="shared" si="334"/>
        <v>0</v>
      </c>
      <c r="R229" s="75">
        <f t="shared" si="335"/>
        <v>0</v>
      </c>
    </row>
    <row r="230" spans="3:18" ht="15.5">
      <c r="C230" s="319">
        <f>'C-sidumine'!D40</f>
        <v>0</v>
      </c>
      <c r="D230" s="75">
        <f t="shared" si="336"/>
        <v>-0.98712939145204925</v>
      </c>
      <c r="E230" s="75">
        <f t="shared" si="337"/>
        <v>-0.97153476965556562</v>
      </c>
      <c r="F230" s="75">
        <f t="shared" si="338"/>
        <v>-0.96087844581762882</v>
      </c>
      <c r="G230" s="75">
        <f t="shared" si="339"/>
        <v>-0.92802425746008621</v>
      </c>
      <c r="H230" s="75">
        <f t="shared" si="340"/>
        <v>-0.83826602020042418</v>
      </c>
      <c r="J230" t="e">
        <f>'C-sidumine'!E40*'C-sidumine'!$D$2/100</f>
        <v>#DIV/0!</v>
      </c>
      <c r="K230" t="e">
        <f>'C-sidumine'!E40*'C-sidumine'!$D$3/100</f>
        <v>#DIV/0!</v>
      </c>
      <c r="L230" t="e">
        <f>'C-sidumine'!E40*(('C-sidumine'!$D$5+'C-sidumine'!$D$4)/100)</f>
        <v>#DIV/0!</v>
      </c>
      <c r="M230" t="e">
        <f>'C-sidumine'!E40*'C-sidumine'!$D$6/100</f>
        <v>#DIV/0!</v>
      </c>
      <c r="N230" t="e">
        <f>'C-sidumine'!E40*'C-sidumine'!$D$7/100</f>
        <v>#DIV/0!</v>
      </c>
      <c r="Q230" s="75">
        <f t="shared" si="334"/>
        <v>0</v>
      </c>
      <c r="R230" s="75">
        <f t="shared" si="335"/>
        <v>0</v>
      </c>
    </row>
    <row r="231" spans="3:18" ht="15.5">
      <c r="C231" s="319">
        <f>'C-sidumine'!D41</f>
        <v>0</v>
      </c>
      <c r="D231" s="75">
        <f t="shared" si="336"/>
        <v>-0.98712939145204925</v>
      </c>
      <c r="E231" s="75">
        <f t="shared" si="337"/>
        <v>-0.97153476965556562</v>
      </c>
      <c r="F231" s="75">
        <f t="shared" si="338"/>
        <v>-0.96087844581762882</v>
      </c>
      <c r="G231" s="75">
        <f t="shared" si="339"/>
        <v>-0.92802425746008621</v>
      </c>
      <c r="H231" s="75">
        <f t="shared" si="340"/>
        <v>-0.83826602020042418</v>
      </c>
      <c r="J231" t="e">
        <f>'C-sidumine'!E41*'C-sidumine'!$D$2/100</f>
        <v>#DIV/0!</v>
      </c>
      <c r="K231" t="e">
        <f>'C-sidumine'!E41*'C-sidumine'!$D$3/100</f>
        <v>#DIV/0!</v>
      </c>
      <c r="L231" t="e">
        <f>'C-sidumine'!E41*(('C-sidumine'!$D$5+'C-sidumine'!$D$4)/100)</f>
        <v>#DIV/0!</v>
      </c>
      <c r="M231" t="e">
        <f>'C-sidumine'!E41*'C-sidumine'!$D$6/100</f>
        <v>#DIV/0!</v>
      </c>
      <c r="N231" t="e">
        <f>'C-sidumine'!E41*'C-sidumine'!$D$7/100</f>
        <v>#DIV/0!</v>
      </c>
      <c r="Q231" s="75">
        <f t="shared" si="334"/>
        <v>0</v>
      </c>
      <c r="R231" s="75">
        <f t="shared" si="335"/>
        <v>0</v>
      </c>
    </row>
    <row r="232" spans="3:18" ht="15.5">
      <c r="C232" s="319">
        <f>'C-sidumine'!D42</f>
        <v>0</v>
      </c>
      <c r="D232" s="75">
        <f t="shared" si="336"/>
        <v>-0.98712939145204925</v>
      </c>
      <c r="E232" s="75">
        <f t="shared" si="337"/>
        <v>-0.97153476965556562</v>
      </c>
      <c r="F232" s="75">
        <f t="shared" si="338"/>
        <v>-0.96087844581762882</v>
      </c>
      <c r="G232" s="75">
        <f t="shared" si="339"/>
        <v>-0.92802425746008621</v>
      </c>
      <c r="H232" s="75">
        <f t="shared" si="340"/>
        <v>-0.83826602020042418</v>
      </c>
      <c r="J232" t="e">
        <f>'C-sidumine'!E42*'C-sidumine'!$D$2/100</f>
        <v>#DIV/0!</v>
      </c>
      <c r="K232" t="e">
        <f>'C-sidumine'!E42*'C-sidumine'!$D$3/100</f>
        <v>#DIV/0!</v>
      </c>
      <c r="L232" t="e">
        <f>'C-sidumine'!E42*(('C-sidumine'!$D$5+'C-sidumine'!$D$4)/100)</f>
        <v>#DIV/0!</v>
      </c>
      <c r="M232" t="e">
        <f>'C-sidumine'!E42*'C-sidumine'!$D$6/100</f>
        <v>#DIV/0!</v>
      </c>
      <c r="N232" t="e">
        <f>'C-sidumine'!E42*'C-sidumine'!$D$7/100</f>
        <v>#DIV/0!</v>
      </c>
      <c r="Q232" s="75">
        <f t="shared" si="334"/>
        <v>0</v>
      </c>
      <c r="R232" s="75">
        <f t="shared" si="335"/>
        <v>0</v>
      </c>
    </row>
    <row r="233" spans="3:18" ht="15.5">
      <c r="C233" s="319">
        <f>'C-sidumine'!D43</f>
        <v>0</v>
      </c>
      <c r="D233" s="75">
        <f t="shared" si="336"/>
        <v>-0.98712939145204925</v>
      </c>
      <c r="E233" s="75">
        <f t="shared" si="337"/>
        <v>-0.97153476965556562</v>
      </c>
      <c r="F233" s="75">
        <f t="shared" si="338"/>
        <v>-0.96087844581762882</v>
      </c>
      <c r="G233" s="75">
        <f t="shared" si="339"/>
        <v>-0.92802425746008621</v>
      </c>
      <c r="H233" s="75">
        <f t="shared" si="340"/>
        <v>-0.83826602020042418</v>
      </c>
      <c r="J233" t="e">
        <f>'C-sidumine'!E43*'C-sidumine'!$D$2/100</f>
        <v>#DIV/0!</v>
      </c>
      <c r="K233" t="e">
        <f>'C-sidumine'!E43*'C-sidumine'!$D$3/100</f>
        <v>#DIV/0!</v>
      </c>
      <c r="L233" t="e">
        <f>'C-sidumine'!E43*(('C-sidumine'!$D$5+'C-sidumine'!$D$4)/100)</f>
        <v>#DIV/0!</v>
      </c>
      <c r="M233" t="e">
        <f>'C-sidumine'!E43*'C-sidumine'!$D$6/100</f>
        <v>#DIV/0!</v>
      </c>
      <c r="N233" t="e">
        <f>'C-sidumine'!E43*'C-sidumine'!$D$7/100</f>
        <v>#DIV/0!</v>
      </c>
      <c r="Q233" s="75">
        <f t="shared" si="334"/>
        <v>0</v>
      </c>
      <c r="R233" s="75">
        <f t="shared" si="335"/>
        <v>0</v>
      </c>
    </row>
    <row r="234" spans="3:18" ht="15.5">
      <c r="C234" s="319">
        <f>'C-sidumine'!D44</f>
        <v>0</v>
      </c>
      <c r="D234" s="75">
        <f t="shared" si="336"/>
        <v>-0.98712939145204925</v>
      </c>
      <c r="E234" s="75">
        <f t="shared" si="337"/>
        <v>-0.97153476965556562</v>
      </c>
      <c r="F234" s="75">
        <f t="shared" si="338"/>
        <v>-0.96087844581762882</v>
      </c>
      <c r="G234" s="75">
        <f t="shared" si="339"/>
        <v>-0.92802425746008621</v>
      </c>
      <c r="H234" s="75">
        <f t="shared" si="340"/>
        <v>-0.83826602020042418</v>
      </c>
      <c r="J234" t="e">
        <f>'C-sidumine'!E44*'C-sidumine'!$D$2/100</f>
        <v>#DIV/0!</v>
      </c>
      <c r="K234" t="e">
        <f>'C-sidumine'!E44*'C-sidumine'!$D$3/100</f>
        <v>#DIV/0!</v>
      </c>
      <c r="L234" t="e">
        <f>'C-sidumine'!E44*(('C-sidumine'!$D$5+'C-sidumine'!$D$4)/100)</f>
        <v>#DIV/0!</v>
      </c>
      <c r="M234" t="e">
        <f>'C-sidumine'!E44*'C-sidumine'!$D$6/100</f>
        <v>#DIV/0!</v>
      </c>
      <c r="N234" t="e">
        <f>'C-sidumine'!E44*'C-sidumine'!$D$7/100</f>
        <v>#DIV/0!</v>
      </c>
      <c r="Q234" s="75">
        <f t="shared" si="334"/>
        <v>0</v>
      </c>
      <c r="R234" s="75">
        <f t="shared" si="335"/>
        <v>0</v>
      </c>
    </row>
    <row r="235" spans="3:18" ht="15.5">
      <c r="C235" s="319">
        <f>'C-sidumine'!D45</f>
        <v>0</v>
      </c>
      <c r="D235" s="75">
        <f t="shared" si="336"/>
        <v>-0.98712939145204925</v>
      </c>
      <c r="E235" s="75">
        <f t="shared" si="337"/>
        <v>-0.97153476965556562</v>
      </c>
      <c r="F235" s="75">
        <f t="shared" si="338"/>
        <v>-0.96087844581762882</v>
      </c>
      <c r="G235" s="75">
        <f t="shared" si="339"/>
        <v>-0.92802425746008621</v>
      </c>
      <c r="H235" s="75">
        <f t="shared" si="340"/>
        <v>-0.83826602020042418</v>
      </c>
      <c r="J235" t="e">
        <f>'C-sidumine'!E45*'C-sidumine'!$D$2/100</f>
        <v>#DIV/0!</v>
      </c>
      <c r="K235" t="e">
        <f>'C-sidumine'!E45*'C-sidumine'!$D$3/100</f>
        <v>#DIV/0!</v>
      </c>
      <c r="L235" t="e">
        <f>'C-sidumine'!E45*(('C-sidumine'!$D$5+'C-sidumine'!$D$4)/100)</f>
        <v>#DIV/0!</v>
      </c>
      <c r="M235" t="e">
        <f>'C-sidumine'!E45*'C-sidumine'!$D$6/100</f>
        <v>#DIV/0!</v>
      </c>
      <c r="N235" t="e">
        <f>'C-sidumine'!E45*'C-sidumine'!$D$7/100</f>
        <v>#DIV/0!</v>
      </c>
      <c r="Q235" s="75">
        <f t="shared" si="334"/>
        <v>0</v>
      </c>
      <c r="R235" s="75">
        <f t="shared" si="335"/>
        <v>0</v>
      </c>
    </row>
    <row r="236" spans="3:18" ht="15.5">
      <c r="C236" s="319">
        <f>'C-sidumine'!D46</f>
        <v>0</v>
      </c>
      <c r="D236" s="75">
        <f t="shared" si="336"/>
        <v>-0.98712939145204925</v>
      </c>
      <c r="E236" s="75">
        <f t="shared" si="337"/>
        <v>-0.97153476965556562</v>
      </c>
      <c r="F236" s="75">
        <f t="shared" si="338"/>
        <v>-0.96087844581762882</v>
      </c>
      <c r="G236" s="75">
        <f t="shared" si="339"/>
        <v>-0.92802425746008621</v>
      </c>
      <c r="H236" s="75">
        <f t="shared" si="340"/>
        <v>-0.83826602020042418</v>
      </c>
      <c r="J236" t="e">
        <f>'C-sidumine'!E46*'C-sidumine'!$D$2/100</f>
        <v>#DIV/0!</v>
      </c>
      <c r="K236" t="e">
        <f>'C-sidumine'!E46*'C-sidumine'!$D$3/100</f>
        <v>#DIV/0!</v>
      </c>
      <c r="L236" t="e">
        <f>'C-sidumine'!E46*(('C-sidumine'!$D$5+'C-sidumine'!$D$4)/100)</f>
        <v>#DIV/0!</v>
      </c>
      <c r="M236" t="e">
        <f>'C-sidumine'!E46*'C-sidumine'!$D$6/100</f>
        <v>#DIV/0!</v>
      </c>
      <c r="N236" t="e">
        <f>'C-sidumine'!E46*'C-sidumine'!$D$7/100</f>
        <v>#DIV/0!</v>
      </c>
      <c r="Q236" s="75">
        <f t="shared" si="334"/>
        <v>0</v>
      </c>
      <c r="R236" s="75">
        <f t="shared" si="335"/>
        <v>0</v>
      </c>
    </row>
    <row r="237" spans="3:18" ht="15.5">
      <c r="C237" s="319">
        <f>'C-sidumine'!D47</f>
        <v>0</v>
      </c>
      <c r="D237" s="75">
        <f t="shared" si="336"/>
        <v>-0.98712939145204925</v>
      </c>
      <c r="E237" s="75">
        <f t="shared" si="337"/>
        <v>-0.97153476965556562</v>
      </c>
      <c r="F237" s="75">
        <f t="shared" si="338"/>
        <v>-0.96087844581762882</v>
      </c>
      <c r="G237" s="75">
        <f t="shared" si="339"/>
        <v>-0.92802425746008621</v>
      </c>
      <c r="H237" s="75">
        <f t="shared" si="340"/>
        <v>-0.83826602020042418</v>
      </c>
      <c r="J237" t="e">
        <f>'C-sidumine'!E47*'C-sidumine'!$D$2/100</f>
        <v>#DIV/0!</v>
      </c>
      <c r="K237" t="e">
        <f>'C-sidumine'!E47*'C-sidumine'!$D$3/100</f>
        <v>#DIV/0!</v>
      </c>
      <c r="L237" t="e">
        <f>'C-sidumine'!E47*(('C-sidumine'!$D$5+'C-sidumine'!$D$4)/100)</f>
        <v>#DIV/0!</v>
      </c>
      <c r="M237" t="e">
        <f>'C-sidumine'!E47*'C-sidumine'!$D$6/100</f>
        <v>#DIV/0!</v>
      </c>
      <c r="N237" t="e">
        <f>'C-sidumine'!E47*'C-sidumine'!$D$7/100</f>
        <v>#DIV/0!</v>
      </c>
      <c r="Q237" s="75">
        <f t="shared" si="334"/>
        <v>0</v>
      </c>
      <c r="R237" s="75">
        <f t="shared" si="335"/>
        <v>0</v>
      </c>
    </row>
    <row r="238" spans="3:18" ht="15.5">
      <c r="C238" s="319">
        <f>'C-sidumine'!D48</f>
        <v>0</v>
      </c>
      <c r="D238" s="75">
        <f t="shared" si="336"/>
        <v>-0.98712939145204925</v>
      </c>
      <c r="E238" s="75">
        <f t="shared" si="337"/>
        <v>-0.97153476965556562</v>
      </c>
      <c r="F238" s="75">
        <f t="shared" si="338"/>
        <v>-0.96087844581762882</v>
      </c>
      <c r="G238" s="75">
        <f t="shared" si="339"/>
        <v>-0.92802425746008621</v>
      </c>
      <c r="H238" s="75">
        <f t="shared" si="340"/>
        <v>-0.83826602020042418</v>
      </c>
      <c r="J238" t="e">
        <f>'C-sidumine'!E48*'C-sidumine'!$D$2/100</f>
        <v>#DIV/0!</v>
      </c>
      <c r="K238" t="e">
        <f>'C-sidumine'!E48*'C-sidumine'!$D$3/100</f>
        <v>#DIV/0!</v>
      </c>
      <c r="L238" t="e">
        <f>'C-sidumine'!E48*(('C-sidumine'!$D$5+'C-sidumine'!$D$4)/100)</f>
        <v>#DIV/0!</v>
      </c>
      <c r="M238" t="e">
        <f>'C-sidumine'!E48*'C-sidumine'!$D$6/100</f>
        <v>#DIV/0!</v>
      </c>
      <c r="N238" t="e">
        <f>'C-sidumine'!E48*'C-sidumine'!$D$7/100</f>
        <v>#DIV/0!</v>
      </c>
      <c r="Q238" s="75">
        <f t="shared" si="334"/>
        <v>0</v>
      </c>
      <c r="R238" s="75">
        <f t="shared" si="335"/>
        <v>0</v>
      </c>
    </row>
    <row r="239" spans="3:18" ht="15.5">
      <c r="C239" s="319">
        <f>'C-sidumine'!D49</f>
        <v>0</v>
      </c>
      <c r="D239" s="75">
        <f t="shared" si="336"/>
        <v>-0.98712939145204925</v>
      </c>
      <c r="E239" s="75">
        <f t="shared" si="337"/>
        <v>-0.97153476965556562</v>
      </c>
      <c r="F239" s="75">
        <f t="shared" si="338"/>
        <v>-0.96087844581762882</v>
      </c>
      <c r="G239" s="75">
        <f t="shared" si="339"/>
        <v>-0.92802425746008621</v>
      </c>
      <c r="H239" s="75">
        <f t="shared" si="340"/>
        <v>-0.83826602020042418</v>
      </c>
      <c r="J239" t="e">
        <f>'C-sidumine'!E49*'C-sidumine'!$D$2/100</f>
        <v>#DIV/0!</v>
      </c>
      <c r="K239" t="e">
        <f>'C-sidumine'!E49*'C-sidumine'!$D$3/100</f>
        <v>#DIV/0!</v>
      </c>
      <c r="L239" t="e">
        <f>'C-sidumine'!E49*(('C-sidumine'!$D$5+'C-sidumine'!$D$4)/100)</f>
        <v>#DIV/0!</v>
      </c>
      <c r="M239" t="e">
        <f>'C-sidumine'!E49*'C-sidumine'!$D$6/100</f>
        <v>#DIV/0!</v>
      </c>
      <c r="N239" t="e">
        <f>'C-sidumine'!E49*'C-sidumine'!$D$7/100</f>
        <v>#DIV/0!</v>
      </c>
      <c r="Q239" s="75">
        <f t="shared" si="334"/>
        <v>0</v>
      </c>
      <c r="R239" s="75">
        <f t="shared" si="335"/>
        <v>0</v>
      </c>
    </row>
    <row r="240" spans="3:18" ht="15.5">
      <c r="C240" s="319">
        <f>'C-sidumine'!D50</f>
        <v>0</v>
      </c>
      <c r="D240" s="75">
        <f t="shared" si="336"/>
        <v>-0.98712939145204925</v>
      </c>
      <c r="E240" s="75">
        <f t="shared" si="337"/>
        <v>-0.97153476965556562</v>
      </c>
      <c r="F240" s="75">
        <f t="shared" si="338"/>
        <v>-0.96087844581762882</v>
      </c>
      <c r="G240" s="75">
        <f t="shared" si="339"/>
        <v>-0.92802425746008621</v>
      </c>
      <c r="H240" s="75">
        <f t="shared" si="340"/>
        <v>-0.83826602020042418</v>
      </c>
      <c r="J240" t="e">
        <f>'C-sidumine'!E50*'C-sidumine'!$D$2/100</f>
        <v>#DIV/0!</v>
      </c>
      <c r="K240" t="e">
        <f>'C-sidumine'!E50*'C-sidumine'!$D$3/100</f>
        <v>#DIV/0!</v>
      </c>
      <c r="L240" t="e">
        <f>'C-sidumine'!E50*(('C-sidumine'!$D$5+'C-sidumine'!$D$4)/100)</f>
        <v>#DIV/0!</v>
      </c>
      <c r="M240" t="e">
        <f>'C-sidumine'!E50*'C-sidumine'!$D$6/100</f>
        <v>#DIV/0!</v>
      </c>
      <c r="N240" t="e">
        <f>'C-sidumine'!E50*'C-sidumine'!$D$7/100</f>
        <v>#DIV/0!</v>
      </c>
      <c r="Q240" s="75">
        <f t="shared" si="334"/>
        <v>0</v>
      </c>
      <c r="R240" s="75">
        <f t="shared" si="335"/>
        <v>0</v>
      </c>
    </row>
    <row r="241" spans="1:18" ht="15.5">
      <c r="C241" s="319">
        <f>'C-sidumine'!D51</f>
        <v>0</v>
      </c>
      <c r="D241" s="75">
        <f t="shared" si="336"/>
        <v>-0.98712939145204925</v>
      </c>
      <c r="E241" s="75">
        <f t="shared" si="337"/>
        <v>-0.97153476965556562</v>
      </c>
      <c r="F241" s="75">
        <f t="shared" si="338"/>
        <v>-0.96087844581762882</v>
      </c>
      <c r="G241" s="75">
        <f t="shared" si="339"/>
        <v>-0.92802425746008621</v>
      </c>
      <c r="H241" s="75">
        <f t="shared" si="340"/>
        <v>-0.83826602020042418</v>
      </c>
      <c r="J241" t="e">
        <f>'C-sidumine'!E51*'C-sidumine'!$D$2/100</f>
        <v>#DIV/0!</v>
      </c>
      <c r="K241" t="e">
        <f>'C-sidumine'!E51*'C-sidumine'!$D$3/100</f>
        <v>#DIV/0!</v>
      </c>
      <c r="L241" t="e">
        <f>'C-sidumine'!E51*(('C-sidumine'!$D$5+'C-sidumine'!$D$4)/100)</f>
        <v>#DIV/0!</v>
      </c>
      <c r="M241" t="e">
        <f>'C-sidumine'!E51*'C-sidumine'!$D$6/100</f>
        <v>#DIV/0!</v>
      </c>
      <c r="N241" t="e">
        <f>'C-sidumine'!E51*'C-sidumine'!$D$7/100</f>
        <v>#DIV/0!</v>
      </c>
      <c r="Q241" s="75">
        <f t="shared" si="334"/>
        <v>0</v>
      </c>
      <c r="R241" s="75">
        <f t="shared" si="335"/>
        <v>0</v>
      </c>
    </row>
    <row r="242" spans="1:18" ht="15.5">
      <c r="C242" s="319">
        <f>'C-sidumine'!D52</f>
        <v>0</v>
      </c>
      <c r="D242" s="75">
        <f t="shared" si="336"/>
        <v>-0.98712939145204925</v>
      </c>
      <c r="E242" s="75">
        <f t="shared" si="337"/>
        <v>-0.97153476965556562</v>
      </c>
      <c r="F242" s="75">
        <f t="shared" si="338"/>
        <v>-0.96087844581762882</v>
      </c>
      <c r="G242" s="75">
        <f t="shared" si="339"/>
        <v>-0.92802425746008621</v>
      </c>
      <c r="H242" s="75">
        <f t="shared" si="340"/>
        <v>-0.83826602020042418</v>
      </c>
      <c r="J242" t="e">
        <f>'C-sidumine'!E52*'C-sidumine'!$D$2/100</f>
        <v>#DIV/0!</v>
      </c>
      <c r="K242" t="e">
        <f>'C-sidumine'!E52*'C-sidumine'!$D$3/100</f>
        <v>#DIV/0!</v>
      </c>
      <c r="L242" t="e">
        <f>'C-sidumine'!E52*(('C-sidumine'!$D$5+'C-sidumine'!$D$4)/100)</f>
        <v>#DIV/0!</v>
      </c>
      <c r="M242" t="e">
        <f>'C-sidumine'!E52*'C-sidumine'!$D$6/100</f>
        <v>#DIV/0!</v>
      </c>
      <c r="N242" t="e">
        <f>'C-sidumine'!E52*'C-sidumine'!$D$7/100</f>
        <v>#DIV/0!</v>
      </c>
      <c r="Q242" s="75">
        <f t="shared" si="334"/>
        <v>0</v>
      </c>
      <c r="R242" s="75">
        <f t="shared" si="335"/>
        <v>0</v>
      </c>
    </row>
    <row r="243" spans="1:18" ht="15.5">
      <c r="C243" s="319">
        <f>'C-sidumine'!D53</f>
        <v>0</v>
      </c>
      <c r="D243" s="75">
        <f t="shared" si="336"/>
        <v>-0.98712939145204925</v>
      </c>
      <c r="E243" s="75">
        <f t="shared" si="337"/>
        <v>-0.97153476965556562</v>
      </c>
      <c r="F243" s="75">
        <f t="shared" si="338"/>
        <v>-0.96087844581762882</v>
      </c>
      <c r="G243" s="75">
        <f t="shared" si="339"/>
        <v>-0.92802425746008621</v>
      </c>
      <c r="H243" s="75">
        <f t="shared" si="340"/>
        <v>-0.83826602020042418</v>
      </c>
      <c r="J243" t="e">
        <f>'C-sidumine'!E53*'C-sidumine'!$D$2/100</f>
        <v>#DIV/0!</v>
      </c>
      <c r="K243" t="e">
        <f>'C-sidumine'!E53*'C-sidumine'!$D$3/100</f>
        <v>#DIV/0!</v>
      </c>
      <c r="L243" t="e">
        <f>'C-sidumine'!E53*(('C-sidumine'!$D$5+'C-sidumine'!$D$4)/100)</f>
        <v>#DIV/0!</v>
      </c>
      <c r="M243" t="e">
        <f>'C-sidumine'!E53*'C-sidumine'!$D$6/100</f>
        <v>#DIV/0!</v>
      </c>
      <c r="N243" t="e">
        <f>'C-sidumine'!E53*'C-sidumine'!$D$7/100</f>
        <v>#DIV/0!</v>
      </c>
      <c r="Q243" s="75">
        <f t="shared" si="334"/>
        <v>0</v>
      </c>
      <c r="R243" s="75">
        <f t="shared" si="335"/>
        <v>0</v>
      </c>
    </row>
    <row r="244" spans="1:18" ht="15.5">
      <c r="C244" s="319">
        <f>'C-sidumine'!D54</f>
        <v>0</v>
      </c>
      <c r="D244" s="75">
        <f t="shared" si="336"/>
        <v>-1.9218990457757463</v>
      </c>
      <c r="E244" s="75">
        <f t="shared" si="337"/>
        <v>-1.8915369787464089</v>
      </c>
      <c r="F244" s="75">
        <f t="shared" si="338"/>
        <v>-1.8857537278836787</v>
      </c>
      <c r="G244" s="75">
        <f t="shared" si="339"/>
        <v>-1.8886453533150436</v>
      </c>
      <c r="H244" s="75">
        <f t="shared" si="340"/>
        <v>-1.892982791462092</v>
      </c>
      <c r="J244" t="e">
        <f>'C-sidumine'!E54*'C-sidumine'!$D$2/100</f>
        <v>#DIV/0!</v>
      </c>
      <c r="K244" t="e">
        <f>'C-sidumine'!E54*'C-sidumine'!$D$3/100</f>
        <v>#DIV/0!</v>
      </c>
      <c r="L244" t="e">
        <f>'C-sidumine'!E54*(('C-sidumine'!$D$5+'C-sidumine'!$D$4)/100)</f>
        <v>#DIV/0!</v>
      </c>
      <c r="M244" t="e">
        <f>'C-sidumine'!E54*'C-sidumine'!$D$6/100</f>
        <v>#DIV/0!</v>
      </c>
      <c r="N244" t="e">
        <f>'C-sidumine'!E54*'C-sidumine'!$D$7/100</f>
        <v>#DIV/0!</v>
      </c>
      <c r="Q244" s="75">
        <f t="shared" si="334"/>
        <v>0</v>
      </c>
      <c r="R244" s="75">
        <f t="shared" si="335"/>
        <v>0</v>
      </c>
    </row>
    <row r="245" spans="1:18" ht="15.5">
      <c r="C245" s="319">
        <f>'C-sidumine'!D55</f>
        <v>0</v>
      </c>
      <c r="D245" s="75">
        <f t="shared" si="336"/>
        <v>-1.9218990457757463</v>
      </c>
      <c r="E245" s="75">
        <f t="shared" si="337"/>
        <v>-1.8915369787464089</v>
      </c>
      <c r="F245" s="75">
        <f t="shared" si="338"/>
        <v>-1.8857537278836787</v>
      </c>
      <c r="G245" s="75">
        <f t="shared" si="339"/>
        <v>-1.8886453533150436</v>
      </c>
      <c r="H245" s="75">
        <f t="shared" si="340"/>
        <v>-1.892982791462092</v>
      </c>
      <c r="J245" t="e">
        <f>'C-sidumine'!E55*'C-sidumine'!$D$2/100</f>
        <v>#DIV/0!</v>
      </c>
      <c r="K245" t="e">
        <f>'C-sidumine'!E55*'C-sidumine'!$D$3/100</f>
        <v>#DIV/0!</v>
      </c>
      <c r="L245" t="e">
        <f>'C-sidumine'!E55*(('C-sidumine'!$D$5+'C-sidumine'!$D$4)/100)</f>
        <v>#DIV/0!</v>
      </c>
      <c r="M245" t="e">
        <f>'C-sidumine'!E55*'C-sidumine'!$D$6/100</f>
        <v>#DIV/0!</v>
      </c>
      <c r="N245" t="e">
        <f>'C-sidumine'!E55*'C-sidumine'!$D$7/100</f>
        <v>#DIV/0!</v>
      </c>
      <c r="Q245" s="75">
        <f t="shared" si="334"/>
        <v>0</v>
      </c>
      <c r="R245" s="75">
        <f t="shared" si="335"/>
        <v>0</v>
      </c>
    </row>
    <row r="246" spans="1:18" ht="15.5">
      <c r="C246" s="319">
        <f>'C-sidumine'!D56</f>
        <v>0</v>
      </c>
      <c r="D246" s="75">
        <f>(O200-D200)/100*3.67</f>
        <v>-1.9218990457757463</v>
      </c>
      <c r="E246" s="75">
        <f>(AF200-U200)/100*3.67</f>
        <v>-1.8915369787464089</v>
      </c>
      <c r="F246" s="75">
        <f>(AW200-AL200)/100*3.67</f>
        <v>-1.8857537278836787</v>
      </c>
      <c r="G246" s="75">
        <f>(BN200-BC200)/100*3.67</f>
        <v>-1.8886453533150436</v>
      </c>
      <c r="H246" s="75">
        <f>(CE200-BT200)/100*3.67</f>
        <v>-1.892982791462092</v>
      </c>
      <c r="J246" t="e">
        <f>'C-sidumine'!E56*'C-sidumine'!$D$2/100</f>
        <v>#DIV/0!</v>
      </c>
      <c r="K246" t="e">
        <f>'C-sidumine'!E56*'C-sidumine'!$D$3/100</f>
        <v>#DIV/0!</v>
      </c>
      <c r="L246" t="e">
        <f>'C-sidumine'!E56*(('C-sidumine'!$D$5+'C-sidumine'!$D$4)/100)</f>
        <v>#DIV/0!</v>
      </c>
      <c r="M246" t="e">
        <f>'C-sidumine'!E56*'C-sidumine'!$D$6/100</f>
        <v>#DIV/0!</v>
      </c>
      <c r="N246" t="e">
        <f>'C-sidumine'!E56*'C-sidumine'!$D$7/100</f>
        <v>#DIV/0!</v>
      </c>
      <c r="Q246" s="75">
        <f t="shared" si="334"/>
        <v>0</v>
      </c>
      <c r="R246" s="75">
        <f t="shared" si="335"/>
        <v>0</v>
      </c>
    </row>
    <row r="247" spans="1:18" ht="15.5">
      <c r="C247" s="319"/>
    </row>
    <row r="252" spans="1:18">
      <c r="A252" s="1"/>
    </row>
  </sheetData>
  <sheetProtection algorithmName="SHA-512" hashValue="qJzGh2QG6Hox5QE0ikEZa4wAKbltBUh10P9Kz2gIo3jnpZBQ0zel/JBZh32Iv7T+11i+jdIJ90942pyt1MS1Jw==" saltValue="swUPF95POj7j2Rmm6c+miQ==" spinCount="100000" sheet="1" objects="1" scenarios="1"/>
  <mergeCells count="27">
    <mergeCell ref="D205:H205"/>
    <mergeCell ref="T205:T206"/>
    <mergeCell ref="U205:U206"/>
    <mergeCell ref="V205:V206"/>
    <mergeCell ref="AF105:AH105"/>
    <mergeCell ref="AW105:AY105"/>
    <mergeCell ref="BN105:BP105"/>
    <mergeCell ref="CE105:CG105"/>
    <mergeCell ref="D157:T157"/>
    <mergeCell ref="U157:AK157"/>
    <mergeCell ref="AL157:BB157"/>
    <mergeCell ref="BC157:BS157"/>
    <mergeCell ref="BT157:CJ157"/>
    <mergeCell ref="O105:Q105"/>
    <mergeCell ref="F77:F79"/>
    <mergeCell ref="B81:B85"/>
    <mergeCell ref="F81:F85"/>
    <mergeCell ref="B88:B92"/>
    <mergeCell ref="B94:B96"/>
    <mergeCell ref="B97:B99"/>
    <mergeCell ref="F98:F99"/>
    <mergeCell ref="H98:H99"/>
    <mergeCell ref="BS104:CJ104"/>
    <mergeCell ref="BB104:BR104"/>
    <mergeCell ref="AK104:AZ104"/>
    <mergeCell ref="T104:AI104"/>
    <mergeCell ref="D104:R104"/>
  </mergeCells>
  <conditionalFormatting sqref="R207:R246">
    <cfRule type="iconSet" priority="1">
      <iconSet iconSet="3Arrows">
        <cfvo type="percent" val="0"/>
        <cfvo type="percent" val="33"/>
        <cfvo type="percent" val="67"/>
      </iconSet>
    </cfRule>
  </conditionalFormatting>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CD41F-1122-4C88-9EE7-4970D2396B71}">
  <sheetPr codeName="Sheet5"/>
  <dimension ref="A1:AK125"/>
  <sheetViews>
    <sheetView zoomScale="85" zoomScaleNormal="85" workbookViewId="0">
      <selection activeCell="H16" sqref="H16"/>
    </sheetView>
  </sheetViews>
  <sheetFormatPr defaultColWidth="8.54296875" defaultRowHeight="14.5"/>
  <cols>
    <col min="1" max="1" width="20.453125" customWidth="1"/>
    <col min="2" max="2" width="19.453125" customWidth="1"/>
    <col min="3" max="3" width="10.453125" customWidth="1"/>
    <col min="4" max="4" width="26.54296875" customWidth="1"/>
    <col min="5" max="5" width="35.453125" customWidth="1"/>
    <col min="6" max="6" width="31.54296875" customWidth="1"/>
    <col min="7" max="7" width="13.54296875" customWidth="1"/>
    <col min="8" max="8" width="22.453125" customWidth="1"/>
    <col min="10" max="10" width="11" customWidth="1"/>
    <col min="19" max="19" width="21" customWidth="1"/>
    <col min="20" max="20" width="19.453125" customWidth="1"/>
    <col min="27" max="27" width="15.54296875" customWidth="1"/>
    <col min="28" max="29" width="19.453125" customWidth="1"/>
  </cols>
  <sheetData>
    <row r="1" spans="1:6" ht="15" thickBot="1"/>
    <row r="2" spans="1:6">
      <c r="B2" s="15" t="s">
        <v>1224</v>
      </c>
      <c r="C2" s="16"/>
      <c r="D2" s="16"/>
      <c r="E2" s="16"/>
      <c r="F2" s="17"/>
    </row>
    <row r="3" spans="1:6">
      <c r="B3" s="30" t="s">
        <v>521</v>
      </c>
      <c r="C3" s="28"/>
      <c r="D3" s="28"/>
      <c r="E3" s="28"/>
      <c r="F3" s="21"/>
    </row>
    <row r="4" spans="1:6">
      <c r="B4" s="20" t="s">
        <v>1225</v>
      </c>
      <c r="C4" t="s">
        <v>1226</v>
      </c>
      <c r="F4" s="21"/>
    </row>
    <row r="5" spans="1:6">
      <c r="B5" s="20" t="s">
        <v>1227</v>
      </c>
      <c r="C5" s="31" t="s">
        <v>1228</v>
      </c>
      <c r="F5" s="21"/>
    </row>
    <row r="6" spans="1:6">
      <c r="B6" s="32" t="s">
        <v>1229</v>
      </c>
      <c r="C6" s="33" t="s">
        <v>1230</v>
      </c>
      <c r="D6" s="33"/>
      <c r="E6" s="33"/>
      <c r="F6" s="21"/>
    </row>
    <row r="7" spans="1:6">
      <c r="B7" s="20"/>
      <c r="F7" s="21"/>
    </row>
    <row r="8" spans="1:6" ht="15" thickBot="1">
      <c r="B8" s="34" t="s">
        <v>1231</v>
      </c>
      <c r="C8" s="35"/>
      <c r="D8" s="35"/>
      <c r="E8" s="36"/>
      <c r="F8" s="37"/>
    </row>
    <row r="10" spans="1:6">
      <c r="A10" s="2"/>
      <c r="B10" s="3" t="s">
        <v>1227</v>
      </c>
      <c r="C10" s="3" t="s">
        <v>19</v>
      </c>
      <c r="D10" s="3" t="s">
        <v>1232</v>
      </c>
      <c r="E10" s="3" t="s">
        <v>1233</v>
      </c>
      <c r="F10" s="9"/>
    </row>
    <row r="11" spans="1:6">
      <c r="A11" s="4" t="s">
        <v>1234</v>
      </c>
      <c r="B11" s="5">
        <v>5</v>
      </c>
      <c r="C11" s="5" t="s">
        <v>1235</v>
      </c>
      <c r="D11" s="5" t="s">
        <v>1236</v>
      </c>
      <c r="E11" s="5" t="s">
        <v>1237</v>
      </c>
      <c r="F11" s="10"/>
    </row>
    <row r="12" spans="1:6">
      <c r="A12" s="6" t="s">
        <v>1234</v>
      </c>
      <c r="B12">
        <v>6.1</v>
      </c>
      <c r="C12" t="s">
        <v>1235</v>
      </c>
      <c r="D12" t="s">
        <v>1238</v>
      </c>
      <c r="E12" t="s">
        <v>1239</v>
      </c>
      <c r="F12" s="11"/>
    </row>
    <row r="13" spans="1:6">
      <c r="A13" s="4" t="s">
        <v>1240</v>
      </c>
      <c r="B13" s="5">
        <v>0.25</v>
      </c>
      <c r="C13" s="5" t="s">
        <v>1235</v>
      </c>
      <c r="D13" s="5" t="s">
        <v>1236</v>
      </c>
      <c r="E13" s="5" t="s">
        <v>1241</v>
      </c>
      <c r="F13" s="10"/>
    </row>
    <row r="14" spans="1:6">
      <c r="A14" s="7" t="s">
        <v>1240</v>
      </c>
      <c r="B14" s="8">
        <v>1.4950000000000001</v>
      </c>
      <c r="C14" s="8" t="s">
        <v>1235</v>
      </c>
      <c r="D14" s="8" t="s">
        <v>1238</v>
      </c>
      <c r="E14" s="8" t="s">
        <v>1242</v>
      </c>
      <c r="F14" s="41"/>
    </row>
    <row r="17" spans="1:35" ht="15" thickBot="1"/>
    <row r="18" spans="1:35" ht="15" thickBot="1">
      <c r="B18" s="52"/>
      <c r="C18" s="53" t="s">
        <v>1243</v>
      </c>
      <c r="D18" s="53"/>
      <c r="E18" s="54"/>
    </row>
    <row r="21" spans="1:35" ht="15" thickBot="1"/>
    <row r="22" spans="1:35">
      <c r="A22" s="15" t="s">
        <v>1244</v>
      </c>
      <c r="B22" s="16"/>
      <c r="C22" s="16"/>
      <c r="D22" s="16"/>
      <c r="E22" s="17"/>
    </row>
    <row r="23" spans="1:35">
      <c r="A23" s="43" t="s">
        <v>1245</v>
      </c>
      <c r="B23" s="44"/>
      <c r="C23" s="44"/>
      <c r="D23" s="44"/>
      <c r="E23" s="21"/>
    </row>
    <row r="24" spans="1:35">
      <c r="A24" s="20" t="s">
        <v>1246</v>
      </c>
      <c r="B24" t="s">
        <v>1247</v>
      </c>
      <c r="E24" s="21"/>
    </row>
    <row r="25" spans="1:35" ht="15" thickBot="1">
      <c r="A25" s="45" t="s">
        <v>1248</v>
      </c>
      <c r="B25" s="35"/>
      <c r="C25" s="36"/>
      <c r="D25" s="36"/>
      <c r="E25" s="37"/>
    </row>
    <row r="26" spans="1:35">
      <c r="D26" s="46"/>
    </row>
    <row r="27" spans="1:35">
      <c r="A27" s="38" t="s">
        <v>528</v>
      </c>
      <c r="B27" s="39"/>
      <c r="C27" s="39"/>
      <c r="D27" s="39"/>
      <c r="E27" s="3"/>
      <c r="F27" s="3"/>
      <c r="G27" s="3"/>
      <c r="H27" s="3"/>
      <c r="I27" s="9"/>
      <c r="K27" s="38" t="s">
        <v>1249</v>
      </c>
      <c r="L27" s="39"/>
      <c r="M27" s="39"/>
      <c r="N27" s="39"/>
      <c r="O27" s="3"/>
      <c r="P27" s="3"/>
      <c r="Q27" s="3"/>
      <c r="R27" s="9"/>
    </row>
    <row r="28" spans="1:35">
      <c r="A28" s="6" t="s">
        <v>1250</v>
      </c>
      <c r="B28" t="s">
        <v>1251</v>
      </c>
      <c r="I28" s="11"/>
      <c r="K28" s="47" t="s">
        <v>1252</v>
      </c>
      <c r="L28" s="33" t="s">
        <v>1253</v>
      </c>
      <c r="M28" s="33"/>
      <c r="N28" s="33"/>
      <c r="O28" s="33"/>
      <c r="P28" s="33"/>
      <c r="Q28" s="33"/>
      <c r="R28" s="11"/>
    </row>
    <row r="29" spans="1:35">
      <c r="A29" s="47" t="s">
        <v>690</v>
      </c>
      <c r="B29" s="33" t="s">
        <v>691</v>
      </c>
      <c r="C29" s="33"/>
      <c r="D29" s="33"/>
      <c r="I29" s="11"/>
      <c r="K29" s="47" t="s">
        <v>1254</v>
      </c>
      <c r="L29" s="33" t="s">
        <v>1255</v>
      </c>
      <c r="M29" s="33"/>
      <c r="N29" s="33"/>
      <c r="O29" s="33"/>
      <c r="P29" s="33"/>
      <c r="Q29" s="33"/>
      <c r="R29" s="11"/>
      <c r="T29" t="s">
        <v>1256</v>
      </c>
      <c r="U29" t="s">
        <v>1257</v>
      </c>
    </row>
    <row r="30" spans="1:35">
      <c r="A30" s="40" t="s">
        <v>697</v>
      </c>
      <c r="B30" t="s">
        <v>1258</v>
      </c>
      <c r="I30" s="11"/>
      <c r="K30" s="47" t="s">
        <v>1259</v>
      </c>
      <c r="L30" s="33" t="s">
        <v>1260</v>
      </c>
      <c r="M30" s="33"/>
      <c r="N30" s="33"/>
      <c r="O30" s="33"/>
      <c r="P30" s="33"/>
      <c r="Q30" s="33"/>
      <c r="R30" s="11"/>
      <c r="T30" t="s">
        <v>542</v>
      </c>
      <c r="U30" t="s">
        <v>1261</v>
      </c>
      <c r="AC30" s="28" t="s">
        <v>1262</v>
      </c>
      <c r="AD30" s="28"/>
      <c r="AE30" s="28"/>
    </row>
    <row r="31" spans="1:35">
      <c r="A31" s="40" t="s">
        <v>1256</v>
      </c>
      <c r="B31" t="s">
        <v>1263</v>
      </c>
      <c r="I31" s="11"/>
      <c r="K31" s="48" t="s">
        <v>1264</v>
      </c>
      <c r="L31" s="49" t="s">
        <v>1265</v>
      </c>
      <c r="M31" s="49"/>
      <c r="N31" s="49"/>
      <c r="O31" s="49"/>
      <c r="P31" s="49"/>
      <c r="Q31" s="49"/>
      <c r="R31" s="41"/>
      <c r="T31" s="33" t="s">
        <v>552</v>
      </c>
      <c r="U31" s="33" t="s">
        <v>1266</v>
      </c>
      <c r="V31" s="33"/>
      <c r="W31" s="33"/>
      <c r="X31" s="33"/>
      <c r="Y31" s="33"/>
      <c r="Z31" s="33"/>
      <c r="AA31" s="33"/>
      <c r="AC31" t="s">
        <v>542</v>
      </c>
      <c r="AD31" t="s">
        <v>543</v>
      </c>
    </row>
    <row r="32" spans="1:35">
      <c r="A32" s="50" t="s">
        <v>1267</v>
      </c>
      <c r="B32" t="s">
        <v>1268</v>
      </c>
      <c r="I32" s="11"/>
      <c r="T32" s="51" t="s">
        <v>555</v>
      </c>
      <c r="U32" t="s">
        <v>1269</v>
      </c>
      <c r="AC32" s="33" t="s">
        <v>546</v>
      </c>
      <c r="AD32" s="33" t="s">
        <v>1270</v>
      </c>
      <c r="AE32" s="33"/>
      <c r="AF32" s="33"/>
      <c r="AG32" s="33"/>
      <c r="AH32" s="33"/>
      <c r="AI32" s="33"/>
    </row>
    <row r="33" spans="1:35">
      <c r="A33" s="50" t="s">
        <v>1271</v>
      </c>
      <c r="B33" t="s">
        <v>1272</v>
      </c>
      <c r="I33" s="11"/>
      <c r="T33" s="51" t="s">
        <v>560</v>
      </c>
      <c r="U33" t="s">
        <v>1273</v>
      </c>
      <c r="AC33" t="s">
        <v>549</v>
      </c>
      <c r="AD33" t="s">
        <v>1274</v>
      </c>
    </row>
    <row r="34" spans="1:35">
      <c r="A34" s="6" t="s">
        <v>1275</v>
      </c>
      <c r="B34" t="s">
        <v>1276</v>
      </c>
      <c r="F34" t="s">
        <v>1277</v>
      </c>
      <c r="I34" s="11"/>
      <c r="T34" s="33" t="s">
        <v>562</v>
      </c>
      <c r="U34" s="33" t="s">
        <v>1278</v>
      </c>
      <c r="V34" s="33"/>
      <c r="W34" s="33"/>
      <c r="X34" s="33"/>
      <c r="Y34" s="33"/>
      <c r="Z34" s="33"/>
      <c r="AA34" s="33"/>
    </row>
    <row r="35" spans="1:35">
      <c r="A35" s="7" t="s">
        <v>1279</v>
      </c>
      <c r="B35" s="8" t="s">
        <v>1280</v>
      </c>
      <c r="C35" s="8"/>
      <c r="D35" s="8"/>
      <c r="E35" s="8"/>
      <c r="F35" s="8"/>
      <c r="G35" s="8"/>
      <c r="H35" s="8"/>
      <c r="I35" s="41"/>
      <c r="T35" s="51" t="s">
        <v>566</v>
      </c>
      <c r="U35" t="s">
        <v>1281</v>
      </c>
    </row>
    <row r="36" spans="1:35">
      <c r="T36" s="51" t="s">
        <v>569</v>
      </c>
      <c r="U36" t="s">
        <v>1282</v>
      </c>
    </row>
    <row r="37" spans="1:35">
      <c r="A37" s="38" t="s">
        <v>606</v>
      </c>
      <c r="B37" s="39"/>
      <c r="C37" s="39"/>
      <c r="D37" s="3"/>
      <c r="E37" s="3"/>
      <c r="F37" s="9"/>
    </row>
    <row r="38" spans="1:35">
      <c r="A38" s="6" t="s">
        <v>607</v>
      </c>
      <c r="B38" t="s">
        <v>1283</v>
      </c>
      <c r="F38" s="11"/>
    </row>
    <row r="39" spans="1:35">
      <c r="A39" s="47" t="s">
        <v>610</v>
      </c>
      <c r="B39" s="33" t="s">
        <v>511</v>
      </c>
      <c r="C39" s="33"/>
      <c r="D39" s="33"/>
      <c r="F39" s="11"/>
    </row>
    <row r="40" spans="1:35">
      <c r="A40" s="6" t="s">
        <v>613</v>
      </c>
      <c r="B40" t="s">
        <v>614</v>
      </c>
      <c r="F40" s="11"/>
    </row>
    <row r="41" spans="1:35">
      <c r="A41" s="47" t="s">
        <v>617</v>
      </c>
      <c r="B41" s="33" t="s">
        <v>519</v>
      </c>
      <c r="C41" s="33"/>
      <c r="D41" s="33"/>
      <c r="F41" s="11"/>
    </row>
    <row r="42" spans="1:35">
      <c r="A42" s="7" t="s">
        <v>619</v>
      </c>
      <c r="B42" s="8" t="s">
        <v>620</v>
      </c>
      <c r="C42" s="8"/>
      <c r="D42" s="8"/>
      <c r="E42" s="8"/>
      <c r="F42" s="41"/>
      <c r="T42" t="s">
        <v>1267</v>
      </c>
      <c r="U42" t="s">
        <v>1284</v>
      </c>
    </row>
    <row r="43" spans="1:35">
      <c r="T43" t="s">
        <v>542</v>
      </c>
      <c r="U43" t="s">
        <v>1285</v>
      </c>
      <c r="AC43" s="28" t="s">
        <v>1262</v>
      </c>
      <c r="AD43" s="28"/>
      <c r="AE43" s="28"/>
    </row>
    <row r="44" spans="1:35">
      <c r="A44" s="38" t="s">
        <v>626</v>
      </c>
      <c r="B44" s="39"/>
      <c r="C44" s="39"/>
      <c r="D44" s="39"/>
      <c r="E44" s="3"/>
      <c r="F44" s="9"/>
      <c r="T44" s="33" t="s">
        <v>552</v>
      </c>
      <c r="U44" s="33" t="s">
        <v>1286</v>
      </c>
      <c r="V44" s="33"/>
      <c r="W44" s="33"/>
      <c r="X44" s="33"/>
      <c r="Y44" s="33"/>
      <c r="Z44" s="33"/>
      <c r="AA44" s="33"/>
      <c r="AC44" t="s">
        <v>542</v>
      </c>
      <c r="AD44" t="s">
        <v>574</v>
      </c>
    </row>
    <row r="45" spans="1:35">
      <c r="A45" s="6" t="s">
        <v>628</v>
      </c>
      <c r="B45" t="s">
        <v>629</v>
      </c>
      <c r="F45" s="11"/>
      <c r="T45" s="51" t="s">
        <v>560</v>
      </c>
      <c r="U45" t="s">
        <v>1287</v>
      </c>
      <c r="AC45" s="33" t="s">
        <v>546</v>
      </c>
      <c r="AD45" s="33" t="s">
        <v>576</v>
      </c>
      <c r="AE45" s="33"/>
      <c r="AF45" s="33"/>
      <c r="AG45" s="33"/>
      <c r="AH45" s="33"/>
      <c r="AI45" s="33"/>
    </row>
    <row r="46" spans="1:35">
      <c r="A46" s="40" t="s">
        <v>632</v>
      </c>
      <c r="B46" t="s">
        <v>633</v>
      </c>
      <c r="F46" s="11"/>
      <c r="H46" t="s">
        <v>699</v>
      </c>
      <c r="I46" t="s">
        <v>1288</v>
      </c>
      <c r="T46" s="33" t="s">
        <v>562</v>
      </c>
      <c r="U46" s="33" t="s">
        <v>1289</v>
      </c>
      <c r="V46" s="33"/>
      <c r="W46" s="33"/>
      <c r="X46" s="33"/>
      <c r="Y46" s="33"/>
      <c r="Z46" s="33"/>
      <c r="AA46" s="33"/>
      <c r="AC46" t="s">
        <v>549</v>
      </c>
      <c r="AD46" t="s">
        <v>1274</v>
      </c>
    </row>
    <row r="47" spans="1:35">
      <c r="A47" s="40" t="s">
        <v>646</v>
      </c>
      <c r="B47" t="s">
        <v>647</v>
      </c>
      <c r="F47" s="11"/>
      <c r="H47" s="33" t="s">
        <v>635</v>
      </c>
      <c r="I47" s="33" t="s">
        <v>636</v>
      </c>
      <c r="J47" s="33"/>
      <c r="K47" s="33"/>
      <c r="L47" s="33"/>
      <c r="T47" s="51" t="s">
        <v>1290</v>
      </c>
      <c r="U47" t="s">
        <v>1291</v>
      </c>
    </row>
    <row r="48" spans="1:35">
      <c r="A48" s="6" t="s">
        <v>652</v>
      </c>
      <c r="B48" t="s">
        <v>653</v>
      </c>
      <c r="F48" s="11"/>
      <c r="H48" t="s">
        <v>639</v>
      </c>
      <c r="I48" t="s">
        <v>640</v>
      </c>
      <c r="T48" s="51" t="s">
        <v>569</v>
      </c>
      <c r="U48" t="s">
        <v>1292</v>
      </c>
    </row>
    <row r="49" spans="1:37">
      <c r="A49" s="7" t="s">
        <v>655</v>
      </c>
      <c r="B49" s="8" t="s">
        <v>656</v>
      </c>
      <c r="C49" s="8"/>
      <c r="D49" s="8"/>
      <c r="E49" s="8"/>
      <c r="F49" s="41"/>
      <c r="H49" t="s">
        <v>641</v>
      </c>
      <c r="I49" t="s">
        <v>642</v>
      </c>
    </row>
    <row r="51" spans="1:37">
      <c r="A51" s="2" t="s">
        <v>624</v>
      </c>
      <c r="B51" s="2"/>
      <c r="C51" s="2" t="s">
        <v>516</v>
      </c>
      <c r="D51" s="3" t="s">
        <v>19</v>
      </c>
      <c r="E51" s="3" t="s">
        <v>1232</v>
      </c>
      <c r="F51" s="3" t="s">
        <v>1233</v>
      </c>
      <c r="G51" s="9"/>
    </row>
    <row r="52" spans="1:37">
      <c r="A52" s="4" t="s">
        <v>1279</v>
      </c>
      <c r="B52" s="5"/>
      <c r="C52" s="5">
        <v>0.01</v>
      </c>
      <c r="D52" s="5" t="s">
        <v>418</v>
      </c>
      <c r="E52" s="5" t="s">
        <v>1293</v>
      </c>
      <c r="F52" s="5" t="s">
        <v>1294</v>
      </c>
      <c r="G52" s="10" t="s">
        <v>1295</v>
      </c>
    </row>
    <row r="53" spans="1:37">
      <c r="A53" s="4" t="s">
        <v>613</v>
      </c>
      <c r="B53" s="5"/>
      <c r="C53" s="5">
        <v>8</v>
      </c>
      <c r="D53" s="5" t="s">
        <v>615</v>
      </c>
      <c r="E53" s="5" t="s">
        <v>1293</v>
      </c>
      <c r="F53" s="5" t="s">
        <v>1296</v>
      </c>
      <c r="G53" s="10" t="s">
        <v>1295</v>
      </c>
    </row>
    <row r="54" spans="1:37">
      <c r="A54" s="4" t="s">
        <v>619</v>
      </c>
      <c r="B54" s="5"/>
      <c r="C54" s="5">
        <v>8</v>
      </c>
      <c r="D54" s="5" t="s">
        <v>615</v>
      </c>
      <c r="E54" s="5" t="s">
        <v>1293</v>
      </c>
      <c r="F54" s="5" t="s">
        <v>1297</v>
      </c>
      <c r="G54" s="10" t="s">
        <v>1295</v>
      </c>
    </row>
    <row r="55" spans="1:37">
      <c r="A55" s="6" t="s">
        <v>1298</v>
      </c>
      <c r="C55">
        <v>0.02</v>
      </c>
      <c r="D55" t="s">
        <v>418</v>
      </c>
      <c r="E55" t="s">
        <v>1293</v>
      </c>
      <c r="F55" t="s">
        <v>1299</v>
      </c>
      <c r="G55" s="11" t="s">
        <v>1295</v>
      </c>
      <c r="U55" t="s">
        <v>1271</v>
      </c>
      <c r="V55" t="s">
        <v>1300</v>
      </c>
    </row>
    <row r="56" spans="1:37">
      <c r="A56" s="6" t="s">
        <v>1301</v>
      </c>
      <c r="C56">
        <v>0.01</v>
      </c>
      <c r="D56" t="s">
        <v>418</v>
      </c>
      <c r="E56" t="s">
        <v>1293</v>
      </c>
      <c r="F56" t="s">
        <v>1302</v>
      </c>
      <c r="G56" s="11" t="s">
        <v>1295</v>
      </c>
      <c r="U56" t="s">
        <v>586</v>
      </c>
      <c r="V56" t="s">
        <v>1303</v>
      </c>
      <c r="AD56" s="28" t="s">
        <v>1304</v>
      </c>
      <c r="AE56" s="28"/>
      <c r="AF56" s="28"/>
    </row>
    <row r="57" spans="1:37">
      <c r="A57" s="4" t="s">
        <v>1298</v>
      </c>
      <c r="B57" s="5" t="s">
        <v>1305</v>
      </c>
      <c r="C57" s="5">
        <v>4.0000000000000001E-3</v>
      </c>
      <c r="D57" s="5" t="s">
        <v>418</v>
      </c>
      <c r="E57" s="5" t="s">
        <v>1306</v>
      </c>
      <c r="F57" s="5" t="s">
        <v>1307</v>
      </c>
      <c r="G57" s="10"/>
      <c r="U57" s="33" t="s">
        <v>590</v>
      </c>
      <c r="V57" s="33" t="s">
        <v>591</v>
      </c>
      <c r="W57" s="33"/>
      <c r="X57" s="33"/>
      <c r="Y57" s="33"/>
      <c r="Z57" s="33"/>
      <c r="AA57" s="33"/>
      <c r="AB57" s="33"/>
      <c r="AD57" t="s">
        <v>586</v>
      </c>
      <c r="AE57" t="s">
        <v>1308</v>
      </c>
    </row>
    <row r="58" spans="1:37">
      <c r="A58" s="12" t="s">
        <v>1301</v>
      </c>
      <c r="B58" s="13" t="s">
        <v>1309</v>
      </c>
      <c r="C58" s="13">
        <v>3.0000000000000001E-3</v>
      </c>
      <c r="D58" s="13" t="s">
        <v>418</v>
      </c>
      <c r="E58" s="13" t="s">
        <v>1306</v>
      </c>
      <c r="F58" s="13" t="s">
        <v>1310</v>
      </c>
      <c r="G58" s="14"/>
      <c r="U58" s="51" t="s">
        <v>592</v>
      </c>
      <c r="V58" t="s">
        <v>1311</v>
      </c>
      <c r="AD58" s="33" t="s">
        <v>588</v>
      </c>
      <c r="AE58" s="33" t="s">
        <v>1312</v>
      </c>
      <c r="AF58" s="33"/>
      <c r="AG58" s="33"/>
      <c r="AH58" s="33"/>
      <c r="AI58" s="33"/>
      <c r="AJ58" s="33"/>
      <c r="AK58" s="33"/>
    </row>
    <row r="59" spans="1:37">
      <c r="T59" t="s">
        <v>595</v>
      </c>
      <c r="U59" t="s">
        <v>1313</v>
      </c>
      <c r="AC59" t="s">
        <v>549</v>
      </c>
      <c r="AD59" t="s">
        <v>1274</v>
      </c>
    </row>
    <row r="60" spans="1:37">
      <c r="T60" s="51" t="s">
        <v>597</v>
      </c>
      <c r="U60" t="s">
        <v>1314</v>
      </c>
    </row>
    <row r="61" spans="1:37">
      <c r="T61" s="51" t="s">
        <v>599</v>
      </c>
      <c r="U61" t="s">
        <v>1315</v>
      </c>
    </row>
    <row r="65" spans="1:19" ht="15" thickBot="1"/>
    <row r="66" spans="1:19">
      <c r="A66" s="55" t="s">
        <v>684</v>
      </c>
      <c r="B66" s="56"/>
      <c r="C66" s="56"/>
      <c r="D66" s="16"/>
      <c r="E66" s="16"/>
      <c r="F66" s="16"/>
      <c r="G66" s="16"/>
      <c r="H66" s="16"/>
      <c r="I66" s="16"/>
      <c r="J66" s="16"/>
      <c r="K66" s="16"/>
      <c r="L66" s="16"/>
      <c r="M66" s="16"/>
      <c r="N66" s="16"/>
      <c r="O66" s="16"/>
      <c r="P66" s="16"/>
      <c r="Q66" s="16"/>
      <c r="R66" s="16"/>
      <c r="S66" s="17"/>
    </row>
    <row r="67" spans="1:19">
      <c r="A67" s="20" t="s">
        <v>686</v>
      </c>
      <c r="B67" t="s">
        <v>687</v>
      </c>
      <c r="S67" s="21"/>
    </row>
    <row r="68" spans="1:19">
      <c r="A68" s="32" t="s">
        <v>690</v>
      </c>
      <c r="B68" s="33" t="s">
        <v>691</v>
      </c>
      <c r="C68" s="33"/>
      <c r="S68" s="21"/>
    </row>
    <row r="69" spans="1:19">
      <c r="A69" s="20" t="s">
        <v>693</v>
      </c>
      <c r="B69" t="s">
        <v>1316</v>
      </c>
      <c r="S69" s="21"/>
    </row>
    <row r="70" spans="1:19">
      <c r="A70" s="32" t="s">
        <v>697</v>
      </c>
      <c r="B70" s="33" t="s">
        <v>1258</v>
      </c>
      <c r="C70" s="33"/>
      <c r="D70" s="33"/>
      <c r="E70" s="33"/>
      <c r="F70" s="33"/>
      <c r="G70" s="33"/>
      <c r="S70" s="21"/>
    </row>
    <row r="71" spans="1:19">
      <c r="A71" s="20" t="s">
        <v>699</v>
      </c>
      <c r="B71" t="s">
        <v>1288</v>
      </c>
      <c r="S71" s="21"/>
    </row>
    <row r="72" spans="1:19">
      <c r="A72" s="20" t="s">
        <v>701</v>
      </c>
      <c r="B72" t="s">
        <v>1317</v>
      </c>
      <c r="S72" s="21"/>
    </row>
    <row r="73" spans="1:19">
      <c r="A73" s="20" t="s">
        <v>704</v>
      </c>
      <c r="B73" t="s">
        <v>1318</v>
      </c>
      <c r="S73" s="21"/>
    </row>
    <row r="74" spans="1:19" ht="15" thickBot="1">
      <c r="A74" s="45" t="s">
        <v>708</v>
      </c>
      <c r="B74" s="35"/>
      <c r="C74" s="35"/>
      <c r="D74" s="36"/>
      <c r="E74" s="36"/>
      <c r="F74" s="36"/>
      <c r="G74" s="36"/>
      <c r="H74" s="36"/>
      <c r="I74" s="36"/>
      <c r="J74" s="36"/>
      <c r="K74" s="36"/>
      <c r="L74" s="36"/>
      <c r="M74" s="36"/>
      <c r="N74" s="36"/>
      <c r="O74" s="36"/>
      <c r="P74" s="36"/>
      <c r="Q74" s="36"/>
      <c r="R74" s="36"/>
      <c r="S74" s="37"/>
    </row>
    <row r="75" spans="1:19" ht="15" thickBot="1"/>
    <row r="76" spans="1:19">
      <c r="A76" s="55" t="s">
        <v>710</v>
      </c>
      <c r="B76" s="56"/>
      <c r="C76" s="56"/>
      <c r="D76" s="16"/>
      <c r="E76" s="16"/>
      <c r="F76" s="16"/>
      <c r="G76" s="16"/>
      <c r="H76" s="16"/>
      <c r="I76" s="16"/>
      <c r="J76" s="16"/>
      <c r="K76" s="16"/>
      <c r="L76" s="16"/>
      <c r="M76" s="16"/>
      <c r="N76" s="16"/>
      <c r="O76" s="16"/>
      <c r="P76" s="16"/>
      <c r="Q76" s="16"/>
      <c r="R76" s="16"/>
      <c r="S76" s="17"/>
    </row>
    <row r="77" spans="1:19">
      <c r="A77" s="20" t="s">
        <v>711</v>
      </c>
      <c r="B77" t="s">
        <v>1319</v>
      </c>
      <c r="S77" s="21"/>
    </row>
    <row r="78" spans="1:19">
      <c r="A78" s="32" t="s">
        <v>690</v>
      </c>
      <c r="B78" s="33" t="s">
        <v>691</v>
      </c>
      <c r="C78" s="33"/>
      <c r="S78" s="21"/>
    </row>
    <row r="79" spans="1:19">
      <c r="A79" s="32" t="s">
        <v>697</v>
      </c>
      <c r="B79" s="33" t="s">
        <v>1258</v>
      </c>
      <c r="C79" s="33"/>
      <c r="S79" s="21"/>
    </row>
    <row r="80" spans="1:19">
      <c r="A80" s="20" t="s">
        <v>699</v>
      </c>
      <c r="B80" t="s">
        <v>1288</v>
      </c>
      <c r="S80" s="21"/>
    </row>
    <row r="81" spans="1:19">
      <c r="A81" s="20" t="s">
        <v>715</v>
      </c>
      <c r="B81" t="s">
        <v>716</v>
      </c>
      <c r="S81" s="21"/>
    </row>
    <row r="82" spans="1:19">
      <c r="A82" s="20" t="s">
        <v>1275</v>
      </c>
      <c r="B82" t="s">
        <v>1276</v>
      </c>
      <c r="H82" t="s">
        <v>1320</v>
      </c>
      <c r="S82" s="21"/>
    </row>
    <row r="83" spans="1:19">
      <c r="A83" s="20" t="s">
        <v>717</v>
      </c>
      <c r="B83" t="s">
        <v>1321</v>
      </c>
      <c r="S83" s="21"/>
    </row>
    <row r="84" spans="1:19">
      <c r="A84" s="20" t="s">
        <v>721</v>
      </c>
      <c r="B84" t="s">
        <v>1322</v>
      </c>
      <c r="S84" s="21"/>
    </row>
    <row r="85" spans="1:19" ht="15" thickBot="1">
      <c r="A85" s="45" t="s">
        <v>727</v>
      </c>
      <c r="B85" s="35"/>
      <c r="C85" s="35"/>
      <c r="D85" s="36"/>
      <c r="E85" s="36"/>
      <c r="F85" s="36"/>
      <c r="G85" s="36"/>
      <c r="H85" s="36"/>
      <c r="I85" s="36"/>
      <c r="J85" s="36"/>
      <c r="K85" s="36"/>
      <c r="L85" s="36"/>
      <c r="M85" s="36"/>
      <c r="N85" s="36"/>
      <c r="O85" s="36"/>
      <c r="P85" s="36"/>
      <c r="Q85" s="36"/>
      <c r="R85" s="36"/>
      <c r="S85" s="37"/>
    </row>
    <row r="86" spans="1:19" ht="15" thickBot="1"/>
    <row r="87" spans="1:19">
      <c r="A87" s="15" t="s">
        <v>624</v>
      </c>
      <c r="B87" s="16" t="s">
        <v>516</v>
      </c>
      <c r="C87" s="16" t="s">
        <v>19</v>
      </c>
      <c r="D87" s="16" t="s">
        <v>1232</v>
      </c>
      <c r="E87" s="16" t="s">
        <v>1233</v>
      </c>
      <c r="F87" s="16"/>
      <c r="G87" s="16"/>
      <c r="H87" s="17"/>
    </row>
    <row r="88" spans="1:19">
      <c r="A88" s="18" t="s">
        <v>704</v>
      </c>
      <c r="B88" s="5">
        <v>0.01</v>
      </c>
      <c r="C88" s="5" t="s">
        <v>418</v>
      </c>
      <c r="D88" s="5" t="s">
        <v>1323</v>
      </c>
      <c r="E88" s="5" t="s">
        <v>1324</v>
      </c>
      <c r="F88" s="5"/>
      <c r="G88" s="5"/>
      <c r="H88" s="19" t="s">
        <v>1295</v>
      </c>
    </row>
    <row r="89" spans="1:19">
      <c r="A89" s="20" t="s">
        <v>721</v>
      </c>
      <c r="B89">
        <v>7.4999999999999997E-3</v>
      </c>
      <c r="C89" t="s">
        <v>418</v>
      </c>
      <c r="D89" t="s">
        <v>1293</v>
      </c>
      <c r="E89" t="s">
        <v>1325</v>
      </c>
      <c r="H89" s="21" t="s">
        <v>1295</v>
      </c>
    </row>
    <row r="90" spans="1:19">
      <c r="A90" s="18" t="s">
        <v>721</v>
      </c>
      <c r="B90" s="5">
        <v>1.0999999999999999E-2</v>
      </c>
      <c r="C90" s="5" t="s">
        <v>418</v>
      </c>
      <c r="D90" s="5" t="s">
        <v>1306</v>
      </c>
      <c r="E90" s="5" t="s">
        <v>1326</v>
      </c>
      <c r="F90" s="5"/>
      <c r="G90" s="5"/>
      <c r="H90" s="19"/>
    </row>
    <row r="91" spans="1:19">
      <c r="A91" s="20" t="s">
        <v>693</v>
      </c>
      <c r="B91">
        <v>0.1</v>
      </c>
      <c r="C91" t="s">
        <v>695</v>
      </c>
      <c r="D91" t="s">
        <v>1293</v>
      </c>
      <c r="E91" t="s">
        <v>1327</v>
      </c>
      <c r="H91" s="21" t="s">
        <v>1295</v>
      </c>
    </row>
    <row r="92" spans="1:19">
      <c r="A92" s="18" t="s">
        <v>693</v>
      </c>
      <c r="B92" s="5">
        <v>0.11</v>
      </c>
      <c r="C92" s="5" t="s">
        <v>695</v>
      </c>
      <c r="D92" s="5" t="s">
        <v>1306</v>
      </c>
      <c r="E92" s="5" t="s">
        <v>1328</v>
      </c>
      <c r="F92" s="5"/>
      <c r="G92" s="5"/>
      <c r="H92" s="19"/>
    </row>
    <row r="93" spans="1:19">
      <c r="A93" s="20" t="s">
        <v>701</v>
      </c>
      <c r="B93">
        <v>0.2</v>
      </c>
      <c r="C93" t="s">
        <v>1329</v>
      </c>
      <c r="D93" t="s">
        <v>1293</v>
      </c>
      <c r="E93" t="s">
        <v>1330</v>
      </c>
      <c r="H93" s="21" t="s">
        <v>1295</v>
      </c>
    </row>
    <row r="94" spans="1:19">
      <c r="A94" s="18" t="s">
        <v>701</v>
      </c>
      <c r="B94" s="5">
        <v>0.21</v>
      </c>
      <c r="C94" s="5" t="s">
        <v>1329</v>
      </c>
      <c r="D94" s="5" t="s">
        <v>1306</v>
      </c>
      <c r="E94" s="5" t="s">
        <v>1331</v>
      </c>
      <c r="F94" s="5"/>
      <c r="G94" s="5"/>
      <c r="H94" s="19"/>
    </row>
    <row r="95" spans="1:19">
      <c r="A95" s="20" t="s">
        <v>717</v>
      </c>
      <c r="B95">
        <v>0.3</v>
      </c>
      <c r="C95" t="s">
        <v>719</v>
      </c>
      <c r="D95" t="s">
        <v>1293</v>
      </c>
      <c r="E95" t="s">
        <v>1332</v>
      </c>
      <c r="H95" s="21" t="s">
        <v>1295</v>
      </c>
    </row>
    <row r="96" spans="1:19" ht="15" thickBot="1">
      <c r="A96" s="22" t="s">
        <v>717</v>
      </c>
      <c r="B96" s="23">
        <v>0.24</v>
      </c>
      <c r="C96" s="23" t="s">
        <v>719</v>
      </c>
      <c r="D96" s="23" t="s">
        <v>1306</v>
      </c>
      <c r="E96" s="23" t="s">
        <v>1333</v>
      </c>
      <c r="F96" s="23"/>
      <c r="G96" s="23"/>
      <c r="H96" s="24"/>
    </row>
    <row r="99" spans="1:9" ht="15" thickBot="1"/>
    <row r="100" spans="1:9">
      <c r="A100" s="55" t="s">
        <v>674</v>
      </c>
      <c r="B100" s="56"/>
      <c r="C100" s="56"/>
      <c r="D100" s="56"/>
      <c r="E100" s="56"/>
      <c r="F100" s="56"/>
      <c r="G100" s="56"/>
      <c r="H100" s="17"/>
    </row>
    <row r="101" spans="1:9">
      <c r="A101" s="20" t="s">
        <v>1334</v>
      </c>
      <c r="B101" t="s">
        <v>1335</v>
      </c>
      <c r="H101" s="21"/>
    </row>
    <row r="102" spans="1:9">
      <c r="A102" s="32" t="s">
        <v>676</v>
      </c>
      <c r="B102" s="33" t="s">
        <v>677</v>
      </c>
      <c r="C102" s="33"/>
      <c r="D102" s="33"/>
      <c r="E102" s="33"/>
      <c r="F102" s="33"/>
      <c r="G102" s="33"/>
      <c r="H102" s="21"/>
    </row>
    <row r="103" spans="1:9">
      <c r="A103" s="32" t="s">
        <v>679</v>
      </c>
      <c r="B103" s="33" t="s">
        <v>680</v>
      </c>
      <c r="C103" s="33"/>
      <c r="D103" s="33"/>
      <c r="E103" s="33"/>
      <c r="F103" s="33"/>
      <c r="G103" s="33"/>
      <c r="H103" s="57"/>
    </row>
    <row r="104" spans="1:9">
      <c r="A104" s="20" t="s">
        <v>1336</v>
      </c>
      <c r="B104" t="s">
        <v>1337</v>
      </c>
      <c r="H104" s="21"/>
    </row>
    <row r="105" spans="1:9" ht="15" thickBot="1">
      <c r="A105" s="58" t="s">
        <v>1338</v>
      </c>
      <c r="B105" s="36" t="s">
        <v>1339</v>
      </c>
      <c r="C105" s="36"/>
      <c r="D105" s="36"/>
      <c r="E105" s="36"/>
      <c r="F105" s="36"/>
      <c r="G105" s="36"/>
      <c r="H105" s="37"/>
    </row>
    <row r="106" spans="1:9" ht="15" thickBot="1"/>
    <row r="107" spans="1:9">
      <c r="A107" s="15" t="s">
        <v>624</v>
      </c>
      <c r="B107" s="25" t="s">
        <v>516</v>
      </c>
      <c r="C107" s="16" t="s">
        <v>19</v>
      </c>
      <c r="D107" s="16" t="s">
        <v>1232</v>
      </c>
      <c r="E107" s="16" t="s">
        <v>1233</v>
      </c>
      <c r="F107" s="16"/>
      <c r="G107" s="16"/>
      <c r="H107" s="16"/>
      <c r="I107" s="17"/>
    </row>
    <row r="108" spans="1:9">
      <c r="A108" s="18" t="s">
        <v>1336</v>
      </c>
      <c r="B108" s="5">
        <v>0.12</v>
      </c>
      <c r="C108" s="5" t="s">
        <v>1340</v>
      </c>
      <c r="D108" s="5" t="s">
        <v>1293</v>
      </c>
      <c r="E108" s="5" t="s">
        <v>1341</v>
      </c>
      <c r="F108" s="5"/>
      <c r="G108" s="5" t="s">
        <v>1342</v>
      </c>
      <c r="H108" s="5"/>
      <c r="I108" s="19"/>
    </row>
    <row r="109" spans="1:9" ht="15" thickBot="1">
      <c r="A109" s="22" t="s">
        <v>1338</v>
      </c>
      <c r="B109" s="23">
        <v>0.13</v>
      </c>
      <c r="C109" s="23" t="s">
        <v>1343</v>
      </c>
      <c r="D109" s="23" t="s">
        <v>1293</v>
      </c>
      <c r="E109" s="23" t="s">
        <v>1341</v>
      </c>
      <c r="F109" s="23"/>
      <c r="G109" s="23" t="s">
        <v>1342</v>
      </c>
      <c r="H109" s="23"/>
      <c r="I109" s="24"/>
    </row>
    <row r="111" spans="1:9">
      <c r="A111" s="38" t="s">
        <v>1344</v>
      </c>
      <c r="B111" s="39"/>
      <c r="C111" s="39"/>
      <c r="D111" s="3"/>
      <c r="E111" s="3"/>
      <c r="F111" s="3"/>
      <c r="G111" s="9"/>
    </row>
    <row r="112" spans="1:9">
      <c r="A112" s="7" t="s">
        <v>1345</v>
      </c>
      <c r="B112" s="8" t="s">
        <v>1346</v>
      </c>
      <c r="C112" s="8"/>
      <c r="D112" s="8"/>
      <c r="E112" s="8"/>
      <c r="F112" s="8"/>
      <c r="G112" s="41"/>
    </row>
    <row r="115" spans="1:9" ht="15" thickBot="1"/>
    <row r="116" spans="1:9">
      <c r="A116" s="55" t="s">
        <v>664</v>
      </c>
      <c r="B116" s="56"/>
      <c r="C116" s="56"/>
      <c r="D116" s="16"/>
      <c r="E116" s="16"/>
      <c r="F116" s="16"/>
      <c r="G116" s="16"/>
      <c r="H116" s="17"/>
    </row>
    <row r="117" spans="1:9">
      <c r="A117" s="20" t="s">
        <v>1347</v>
      </c>
      <c r="B117" t="s">
        <v>1348</v>
      </c>
      <c r="H117" s="21"/>
    </row>
    <row r="118" spans="1:9">
      <c r="A118" s="32" t="s">
        <v>668</v>
      </c>
      <c r="B118" s="33" t="s">
        <v>1349</v>
      </c>
      <c r="C118" s="33"/>
      <c r="D118" s="33"/>
      <c r="E118" s="33"/>
      <c r="F118" s="33"/>
      <c r="H118" s="21"/>
    </row>
    <row r="119" spans="1:9" ht="15" thickBot="1">
      <c r="A119" s="58" t="s">
        <v>1350</v>
      </c>
      <c r="B119" s="36" t="s">
        <v>1351</v>
      </c>
      <c r="C119" s="36"/>
      <c r="D119" s="36"/>
      <c r="E119" s="36"/>
      <c r="F119" s="36"/>
      <c r="G119" s="36"/>
      <c r="H119" s="37"/>
    </row>
    <row r="120" spans="1:9" ht="15" thickBot="1"/>
    <row r="121" spans="1:9">
      <c r="A121" s="15" t="s">
        <v>624</v>
      </c>
      <c r="B121" s="25" t="s">
        <v>516</v>
      </c>
      <c r="C121" s="16" t="s">
        <v>19</v>
      </c>
      <c r="D121" s="16" t="s">
        <v>1232</v>
      </c>
      <c r="E121" s="16" t="s">
        <v>1233</v>
      </c>
      <c r="F121" s="16"/>
      <c r="G121" s="16"/>
      <c r="H121" s="16"/>
      <c r="I121" s="17"/>
    </row>
    <row r="122" spans="1:9" ht="15" thickBot="1">
      <c r="A122" s="22" t="s">
        <v>1350</v>
      </c>
      <c r="B122" s="23">
        <v>0.2</v>
      </c>
      <c r="C122" s="23" t="s">
        <v>1352</v>
      </c>
      <c r="D122" s="23" t="s">
        <v>1293</v>
      </c>
      <c r="E122" s="23" t="s">
        <v>1341</v>
      </c>
      <c r="F122" s="23"/>
      <c r="G122" s="23" t="s">
        <v>1342</v>
      </c>
      <c r="H122" s="23"/>
      <c r="I122" s="24"/>
    </row>
    <row r="123" spans="1:9" ht="15" thickBot="1"/>
    <row r="124" spans="1:9">
      <c r="A124" s="55" t="s">
        <v>1353</v>
      </c>
      <c r="B124" s="56"/>
      <c r="C124" s="56"/>
      <c r="D124" s="16"/>
      <c r="E124" s="16"/>
      <c r="F124" s="16"/>
      <c r="G124" s="16"/>
      <c r="H124" s="17"/>
    </row>
    <row r="125" spans="1:9" ht="15" thickBot="1">
      <c r="A125" s="58" t="s">
        <v>663</v>
      </c>
      <c r="B125" s="36" t="s">
        <v>1354</v>
      </c>
      <c r="C125" s="36"/>
      <c r="D125" s="36"/>
      <c r="E125" s="36"/>
      <c r="F125" s="36"/>
      <c r="G125" s="36"/>
      <c r="H125" s="37"/>
    </row>
  </sheetData>
  <sheetProtection algorithmName="SHA-512" hashValue="kRzLtcgcl2usPI9UZbmwWccOT1B0DxJfdDkkTHmuzELd4zNB8m90xrhUK7OEkOi5lvD9SzGKI8ILJCR//3A7Rw==" saltValue="jvJ1SqJfDAoKA6vinxoFdA==" spinCount="100000" sheet="1" objects="1" scenarios="1"/>
  <hyperlinks>
    <hyperlink ref="A31" location="'Otsesed N2O emissioonid'!T9" display="F cr" xr:uid="{89DECDD6-B258-4C43-919C-503438D4B91F}"/>
    <hyperlink ref="A32" location="'Otsesed N2O emissioonid'!T22" display="F gcr" xr:uid="{6A003274-CC8C-448E-B945-E4A0C39000F0}"/>
    <hyperlink ref="A33" location="'Otsesed N2O emissioonid'!T35" display="F pgr" xr:uid="{29B05DAC-BA14-41CD-B698-D906170D2581}"/>
    <hyperlink ref="A46:A47" location="'Otsesed N2O emissioonid'!H26" display="F prp, cpp" xr:uid="{8FAED1C1-EFF9-4001-A112-076ABEA71A37}"/>
    <hyperlink ref="A30" location="'Otsesed N2O emissioonid'!K7" display="F on" xr:uid="{D2793D30-1768-4DA4-BD79-BB5934F943F9}"/>
    <hyperlink ref="T32:T33" location="Allokatsioonikoefitsiendid!A2" display="R ag (culture)" xr:uid="{B9F7ADA3-DF93-4D65-BAE3-68A41F6F5080}"/>
    <hyperlink ref="T35:T36" location="Allokatsioonikoefitsiendid!A2" display="R:S (culture)" xr:uid="{BDA5DA77-4C0C-4AB0-A016-42016EEE0BA6}"/>
    <hyperlink ref="T45" location="Allokatsioonikoefitsiendid!A2" display="N ag (culture)" xr:uid="{3B187C26-4AB3-440A-882A-C1E81FE18103}"/>
    <hyperlink ref="T47:T48" location="Allokatsioonikoefitsiendid!A2" display="RS (culture)" xr:uid="{4E567D91-90BC-4FF6-83D4-A69ACE53EC7D}"/>
    <hyperlink ref="U58" location="Allokatsioonikoefitsiendid!A2" display="N ag (pgr)" xr:uid="{B83A341A-254B-433F-A72B-3DC2D2A7D484}"/>
    <hyperlink ref="T60:T61" location="Allokatsioonikoefitsiendid!A2" display="RS (pgr)" xr:uid="{57F51E96-1ECC-46CA-8DEB-72447A0D5A43}"/>
  </hyperlink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EF23E-A30A-4824-A330-074D612104C3}">
  <sheetPr codeName="Sheet7"/>
  <dimension ref="A1:M105"/>
  <sheetViews>
    <sheetView topLeftCell="A86" zoomScale="55" zoomScaleNormal="55" workbookViewId="0">
      <selection activeCell="F111" sqref="F111"/>
    </sheetView>
  </sheetViews>
  <sheetFormatPr defaultColWidth="8.54296875" defaultRowHeight="14.5"/>
  <cols>
    <col min="1" max="1" width="29.453125" customWidth="1"/>
    <col min="2" max="2" width="19.453125" customWidth="1"/>
    <col min="3" max="3" width="26.54296875" customWidth="1"/>
    <col min="4" max="4" width="29.453125" customWidth="1"/>
    <col min="5" max="5" width="106.453125" customWidth="1"/>
    <col min="6" max="6" width="25.453125" customWidth="1"/>
    <col min="7" max="7" width="28.453125" customWidth="1"/>
    <col min="8" max="8" width="19.453125" customWidth="1"/>
    <col min="9" max="9" width="10.453125" customWidth="1"/>
    <col min="10" max="10" width="16.453125" customWidth="1"/>
    <col min="11" max="11" width="41.453125" customWidth="1"/>
    <col min="12" max="12" width="31.54296875" customWidth="1"/>
    <col min="13" max="13" width="32.54296875" customWidth="1"/>
  </cols>
  <sheetData>
    <row r="1" spans="1:6">
      <c r="A1" s="1" t="s">
        <v>1355</v>
      </c>
    </row>
    <row r="2" spans="1:6">
      <c r="A2" s="2"/>
      <c r="B2" s="3" t="s">
        <v>1227</v>
      </c>
      <c r="C2" s="3" t="s">
        <v>19</v>
      </c>
      <c r="D2" s="3" t="s">
        <v>1232</v>
      </c>
      <c r="E2" s="3" t="s">
        <v>1233</v>
      </c>
    </row>
    <row r="3" spans="1:6">
      <c r="A3" s="4" t="s">
        <v>1356</v>
      </c>
      <c r="B3" s="5">
        <v>5</v>
      </c>
      <c r="C3" s="5" t="s">
        <v>1235</v>
      </c>
      <c r="D3" s="5" t="s">
        <v>1236</v>
      </c>
      <c r="E3" s="5" t="s">
        <v>1237</v>
      </c>
    </row>
    <row r="4" spans="1:6">
      <c r="A4" s="6" t="s">
        <v>1234</v>
      </c>
      <c r="B4">
        <v>6.1</v>
      </c>
      <c r="C4" t="s">
        <v>1235</v>
      </c>
      <c r="D4" t="s">
        <v>1238</v>
      </c>
      <c r="E4" t="s">
        <v>1239</v>
      </c>
    </row>
    <row r="5" spans="1:6">
      <c r="A5" s="4" t="s">
        <v>1240</v>
      </c>
      <c r="B5" s="5">
        <v>0.25</v>
      </c>
      <c r="C5" s="5" t="s">
        <v>1235</v>
      </c>
      <c r="D5" s="5" t="s">
        <v>1236</v>
      </c>
      <c r="E5" s="5" t="s">
        <v>1241</v>
      </c>
    </row>
    <row r="6" spans="1:6">
      <c r="A6" s="7" t="s">
        <v>1240</v>
      </c>
      <c r="B6" s="8">
        <v>1.4950000000000001</v>
      </c>
      <c r="C6" s="8" t="s">
        <v>1235</v>
      </c>
      <c r="D6" s="8" t="s">
        <v>1238</v>
      </c>
      <c r="E6" s="8" t="s">
        <v>1242</v>
      </c>
    </row>
    <row r="7" spans="1:6" ht="14.9" customHeight="1"/>
    <row r="8" spans="1:6" ht="14.9" customHeight="1"/>
    <row r="9" spans="1:6" ht="14.9" customHeight="1">
      <c r="A9" t="s">
        <v>1357</v>
      </c>
    </row>
    <row r="10" spans="1:6">
      <c r="A10" s="2" t="s">
        <v>624</v>
      </c>
      <c r="B10" s="2" t="s">
        <v>516</v>
      </c>
      <c r="C10" s="3" t="s">
        <v>19</v>
      </c>
      <c r="D10" s="3" t="s">
        <v>1232</v>
      </c>
      <c r="E10" s="3" t="s">
        <v>1233</v>
      </c>
      <c r="F10" s="9"/>
    </row>
    <row r="11" spans="1:6">
      <c r="A11" s="4" t="s">
        <v>1279</v>
      </c>
      <c r="B11" s="5">
        <v>0.01</v>
      </c>
      <c r="C11" s="5" t="s">
        <v>418</v>
      </c>
      <c r="D11" s="5" t="s">
        <v>1293</v>
      </c>
      <c r="E11" s="5" t="s">
        <v>1294</v>
      </c>
      <c r="F11" s="10" t="s">
        <v>1295</v>
      </c>
    </row>
    <row r="12" spans="1:6">
      <c r="A12" s="4" t="s">
        <v>613</v>
      </c>
      <c r="B12" s="5">
        <v>8</v>
      </c>
      <c r="C12" s="5" t="s">
        <v>615</v>
      </c>
      <c r="D12" s="5" t="s">
        <v>1293</v>
      </c>
      <c r="E12" s="5" t="s">
        <v>1296</v>
      </c>
      <c r="F12" s="10" t="s">
        <v>1295</v>
      </c>
    </row>
    <row r="13" spans="1:6">
      <c r="A13" s="4" t="s">
        <v>619</v>
      </c>
      <c r="B13" s="5">
        <v>8</v>
      </c>
      <c r="C13" s="5" t="s">
        <v>615</v>
      </c>
      <c r="D13" s="5" t="s">
        <v>1293</v>
      </c>
      <c r="E13" s="5" t="s">
        <v>1297</v>
      </c>
      <c r="F13" s="10" t="s">
        <v>1295</v>
      </c>
    </row>
    <row r="14" spans="1:6">
      <c r="A14" s="4" t="s">
        <v>1298</v>
      </c>
      <c r="B14" s="5">
        <v>0.02</v>
      </c>
      <c r="C14" s="5" t="s">
        <v>418</v>
      </c>
      <c r="D14" s="5" t="s">
        <v>1293</v>
      </c>
      <c r="E14" s="5" t="s">
        <v>1299</v>
      </c>
      <c r="F14" s="10" t="s">
        <v>1295</v>
      </c>
    </row>
    <row r="15" spans="1:6">
      <c r="A15" s="4" t="s">
        <v>1301</v>
      </c>
      <c r="B15" s="5">
        <v>0.01</v>
      </c>
      <c r="C15" s="5" t="s">
        <v>418</v>
      </c>
      <c r="D15" s="5" t="s">
        <v>1293</v>
      </c>
      <c r="E15" s="5" t="s">
        <v>1302</v>
      </c>
      <c r="F15" s="10" t="s">
        <v>1295</v>
      </c>
    </row>
    <row r="16" spans="1:6">
      <c r="A16" s="6" t="s">
        <v>1298</v>
      </c>
      <c r="B16">
        <v>4.0000000000000001E-3</v>
      </c>
      <c r="C16" t="s">
        <v>418</v>
      </c>
      <c r="D16" t="s">
        <v>1306</v>
      </c>
      <c r="E16" t="s">
        <v>1307</v>
      </c>
      <c r="F16" s="11"/>
    </row>
    <row r="17" spans="1:8">
      <c r="A17" s="7" t="s">
        <v>1301</v>
      </c>
      <c r="B17" s="8">
        <v>3.0000000000000001E-3</v>
      </c>
      <c r="C17" s="8" t="s">
        <v>418</v>
      </c>
      <c r="D17" s="8" t="s">
        <v>1306</v>
      </c>
      <c r="E17" s="8" t="s">
        <v>1310</v>
      </c>
      <c r="F17" s="41"/>
    </row>
    <row r="18" spans="1:8" ht="15" thickBot="1">
      <c r="A18" s="6" t="s">
        <v>1358</v>
      </c>
    </row>
    <row r="19" spans="1:8">
      <c r="A19" s="15" t="s">
        <v>624</v>
      </c>
      <c r="B19" s="16" t="s">
        <v>516</v>
      </c>
      <c r="C19" s="16" t="s">
        <v>19</v>
      </c>
      <c r="D19" s="16" t="s">
        <v>1232</v>
      </c>
      <c r="E19" s="16" t="s">
        <v>1233</v>
      </c>
      <c r="F19" s="16"/>
      <c r="G19" s="16"/>
      <c r="H19" s="17"/>
    </row>
    <row r="20" spans="1:8">
      <c r="A20" s="18" t="s">
        <v>704</v>
      </c>
      <c r="B20" s="5">
        <v>0.01</v>
      </c>
      <c r="C20" s="5" t="s">
        <v>418</v>
      </c>
      <c r="D20" s="5" t="s">
        <v>1323</v>
      </c>
      <c r="E20" s="5" t="s">
        <v>1324</v>
      </c>
      <c r="F20" s="5"/>
      <c r="G20" s="5"/>
      <c r="H20" s="19" t="s">
        <v>1295</v>
      </c>
    </row>
    <row r="21" spans="1:8">
      <c r="A21" s="18" t="s">
        <v>721</v>
      </c>
      <c r="B21" s="5">
        <v>7.4999999999999997E-3</v>
      </c>
      <c r="C21" s="5" t="s">
        <v>418</v>
      </c>
      <c r="D21" s="5" t="s">
        <v>1293</v>
      </c>
      <c r="E21" s="5" t="s">
        <v>1325</v>
      </c>
      <c r="F21" s="5"/>
      <c r="G21" s="5"/>
      <c r="H21" s="19" t="s">
        <v>1295</v>
      </c>
    </row>
    <row r="22" spans="1:8">
      <c r="A22" s="20" t="s">
        <v>721</v>
      </c>
      <c r="B22">
        <v>1.0999999999999999E-2</v>
      </c>
      <c r="C22" t="s">
        <v>418</v>
      </c>
      <c r="D22" t="s">
        <v>1306</v>
      </c>
      <c r="E22" t="s">
        <v>1326</v>
      </c>
      <c r="H22" s="21"/>
    </row>
    <row r="23" spans="1:8">
      <c r="A23" s="18" t="s">
        <v>693</v>
      </c>
      <c r="B23" s="5">
        <v>0.1</v>
      </c>
      <c r="C23" s="5" t="s">
        <v>695</v>
      </c>
      <c r="D23" s="5" t="s">
        <v>1293</v>
      </c>
      <c r="E23" s="5" t="s">
        <v>1327</v>
      </c>
      <c r="F23" s="5"/>
      <c r="G23" s="5"/>
      <c r="H23" s="19" t="s">
        <v>1295</v>
      </c>
    </row>
    <row r="24" spans="1:8">
      <c r="A24" s="20" t="s">
        <v>693</v>
      </c>
      <c r="B24">
        <v>0.11</v>
      </c>
      <c r="C24" t="s">
        <v>695</v>
      </c>
      <c r="D24" t="s">
        <v>1306</v>
      </c>
      <c r="E24" t="s">
        <v>1328</v>
      </c>
      <c r="H24" s="21"/>
    </row>
    <row r="25" spans="1:8">
      <c r="A25" s="18" t="s">
        <v>701</v>
      </c>
      <c r="B25" s="5">
        <v>0.2</v>
      </c>
      <c r="C25" s="5" t="s">
        <v>1329</v>
      </c>
      <c r="D25" s="5" t="s">
        <v>1293</v>
      </c>
      <c r="E25" s="5" t="s">
        <v>1330</v>
      </c>
      <c r="F25" s="5"/>
      <c r="G25" s="5"/>
      <c r="H25" s="19" t="s">
        <v>1295</v>
      </c>
    </row>
    <row r="26" spans="1:8">
      <c r="A26" s="20" t="s">
        <v>701</v>
      </c>
      <c r="B26">
        <v>0.21</v>
      </c>
      <c r="C26" t="s">
        <v>1329</v>
      </c>
      <c r="D26" t="s">
        <v>1306</v>
      </c>
      <c r="E26" t="s">
        <v>1331</v>
      </c>
      <c r="H26" s="21"/>
    </row>
    <row r="27" spans="1:8">
      <c r="A27" s="18" t="s">
        <v>717</v>
      </c>
      <c r="B27" s="5">
        <v>0.3</v>
      </c>
      <c r="C27" s="5" t="s">
        <v>719</v>
      </c>
      <c r="D27" s="5" t="s">
        <v>1293</v>
      </c>
      <c r="E27" s="5" t="s">
        <v>1332</v>
      </c>
      <c r="F27" s="5"/>
      <c r="G27" s="5"/>
      <c r="H27" s="19" t="s">
        <v>1295</v>
      </c>
    </row>
    <row r="28" spans="1:8" ht="15" thickBot="1">
      <c r="A28" s="58" t="s">
        <v>717</v>
      </c>
      <c r="B28" s="36">
        <v>0.24</v>
      </c>
      <c r="C28" s="36" t="s">
        <v>719</v>
      </c>
      <c r="D28" s="36" t="s">
        <v>1306</v>
      </c>
      <c r="E28" s="36" t="s">
        <v>1333</v>
      </c>
      <c r="F28" s="36"/>
      <c r="G28" s="36"/>
      <c r="H28" s="37"/>
    </row>
    <row r="29" spans="1:8" ht="15" thickBot="1">
      <c r="A29" s="20" t="s">
        <v>424</v>
      </c>
    </row>
    <row r="30" spans="1:8">
      <c r="A30" s="15" t="s">
        <v>624</v>
      </c>
      <c r="B30" s="25" t="s">
        <v>516</v>
      </c>
      <c r="C30" s="16" t="s">
        <v>19</v>
      </c>
      <c r="D30" s="16" t="s">
        <v>1232</v>
      </c>
      <c r="E30" s="16" t="s">
        <v>1233</v>
      </c>
      <c r="F30" s="16"/>
      <c r="G30" s="16"/>
      <c r="H30" s="16"/>
    </row>
    <row r="31" spans="1:8">
      <c r="A31" s="18" t="s">
        <v>1336</v>
      </c>
      <c r="B31" s="5">
        <v>0.12</v>
      </c>
      <c r="C31" s="5" t="s">
        <v>1340</v>
      </c>
      <c r="D31" s="5" t="s">
        <v>1293</v>
      </c>
      <c r="E31" s="5" t="s">
        <v>1341</v>
      </c>
      <c r="F31" s="5"/>
      <c r="G31" s="5" t="s">
        <v>1342</v>
      </c>
      <c r="H31" s="5"/>
    </row>
    <row r="32" spans="1:8" ht="15" thickBot="1">
      <c r="A32" s="22" t="s">
        <v>1338</v>
      </c>
      <c r="B32" s="23">
        <v>0.13</v>
      </c>
      <c r="C32" s="23" t="s">
        <v>1343</v>
      </c>
      <c r="D32" s="23" t="s">
        <v>1293</v>
      </c>
      <c r="E32" s="23" t="s">
        <v>1341</v>
      </c>
      <c r="F32" s="23"/>
      <c r="G32" s="23" t="s">
        <v>1342</v>
      </c>
      <c r="H32" s="23"/>
    </row>
    <row r="33" spans="1:13" ht="15" thickBot="1">
      <c r="A33" s="18" t="s">
        <v>1359</v>
      </c>
    </row>
    <row r="34" spans="1:13">
      <c r="A34" s="15" t="s">
        <v>624</v>
      </c>
      <c r="B34" s="25" t="s">
        <v>516</v>
      </c>
      <c r="C34" s="16" t="s">
        <v>19</v>
      </c>
      <c r="D34" s="16" t="s">
        <v>1232</v>
      </c>
      <c r="E34" s="16" t="s">
        <v>1233</v>
      </c>
      <c r="F34" s="16"/>
      <c r="G34" s="16"/>
      <c r="H34" s="16"/>
    </row>
    <row r="35" spans="1:13" ht="15" thickBot="1">
      <c r="A35" s="22" t="s">
        <v>1350</v>
      </c>
      <c r="B35" s="23">
        <v>0.2</v>
      </c>
      <c r="C35" s="23" t="s">
        <v>1352</v>
      </c>
      <c r="D35" s="23" t="s">
        <v>1293</v>
      </c>
      <c r="E35" s="23" t="s">
        <v>1341</v>
      </c>
      <c r="F35" s="23"/>
      <c r="G35" s="23" t="s">
        <v>1342</v>
      </c>
      <c r="H35" s="23"/>
    </row>
    <row r="36" spans="1:13">
      <c r="A36" s="20"/>
    </row>
    <row r="37" spans="1:13">
      <c r="A37" s="1" t="s">
        <v>132</v>
      </c>
      <c r="B37" s="1" t="s">
        <v>1360</v>
      </c>
      <c r="C37" s="1" t="s">
        <v>1361</v>
      </c>
      <c r="D37" s="1" t="s">
        <v>1362</v>
      </c>
      <c r="E37" s="1" t="s">
        <v>1363</v>
      </c>
      <c r="F37" s="1" t="s">
        <v>1364</v>
      </c>
      <c r="G37" s="1" t="s">
        <v>1232</v>
      </c>
    </row>
    <row r="38" spans="1:13">
      <c r="A38" s="26" t="s">
        <v>627</v>
      </c>
      <c r="B38" s="26">
        <v>0.86</v>
      </c>
      <c r="C38" s="26">
        <v>0.875</v>
      </c>
      <c r="D38" s="26">
        <v>5.1000000000000004E-3</v>
      </c>
      <c r="E38" s="26">
        <v>0.23</v>
      </c>
      <c r="F38" s="26">
        <v>8.9999999999999993E-3</v>
      </c>
      <c r="G38" s="26" t="s">
        <v>1365</v>
      </c>
    </row>
    <row r="39" spans="1:13">
      <c r="A39" s="26" t="s">
        <v>975</v>
      </c>
      <c r="B39" s="26">
        <v>0.86</v>
      </c>
      <c r="C39" s="26">
        <v>0.875</v>
      </c>
      <c r="D39" s="26">
        <v>5.1000000000000004E-3</v>
      </c>
      <c r="E39" s="26">
        <v>0.23</v>
      </c>
      <c r="F39" s="26">
        <v>8.9999999999999993E-3</v>
      </c>
      <c r="G39" s="26" t="s">
        <v>1365</v>
      </c>
    </row>
    <row r="40" spans="1:13">
      <c r="A40" s="26" t="s">
        <v>159</v>
      </c>
      <c r="B40" s="26">
        <v>0.86</v>
      </c>
      <c r="C40" s="26">
        <v>0.96250000000000002</v>
      </c>
      <c r="D40" s="26">
        <v>4.4000000000000003E-3</v>
      </c>
      <c r="E40" s="26">
        <v>0.28000000000000003</v>
      </c>
      <c r="F40" s="26">
        <v>8.9999999999999993E-3</v>
      </c>
      <c r="G40" s="26" t="s">
        <v>1365</v>
      </c>
    </row>
    <row r="41" spans="1:13">
      <c r="A41" s="26" t="s">
        <v>976</v>
      </c>
      <c r="B41" s="26">
        <v>0.86</v>
      </c>
      <c r="C41" s="26">
        <v>0.96250000000000002</v>
      </c>
      <c r="D41" s="26">
        <v>4.4000000000000003E-3</v>
      </c>
      <c r="E41" s="26">
        <v>0.28000000000000003</v>
      </c>
      <c r="F41" s="26">
        <v>8.9999999999999993E-3</v>
      </c>
      <c r="G41" s="26" t="s">
        <v>1365</v>
      </c>
    </row>
    <row r="42" spans="1:13">
      <c r="A42" s="26" t="s">
        <v>980</v>
      </c>
      <c r="B42" s="26">
        <v>0.86</v>
      </c>
      <c r="C42" s="26">
        <v>1.075</v>
      </c>
      <c r="D42" s="26">
        <v>5.8999999999999999E-3</v>
      </c>
      <c r="E42" s="26">
        <v>0.22</v>
      </c>
      <c r="F42" s="26">
        <v>8.9999999999999993E-3</v>
      </c>
      <c r="G42" s="26" t="s">
        <v>1365</v>
      </c>
    </row>
    <row r="43" spans="1:13">
      <c r="A43" s="26" t="s">
        <v>981</v>
      </c>
      <c r="B43" s="26">
        <v>0.86</v>
      </c>
      <c r="C43" s="26">
        <v>1.075</v>
      </c>
      <c r="D43" s="26">
        <v>5.8999999999999999E-3</v>
      </c>
      <c r="E43" s="26">
        <v>0.22</v>
      </c>
      <c r="F43" s="26">
        <v>8.9999999999999993E-3</v>
      </c>
      <c r="G43" s="26" t="s">
        <v>1365</v>
      </c>
    </row>
    <row r="44" spans="1:13">
      <c r="A44" s="26" t="s">
        <v>634</v>
      </c>
      <c r="B44" s="26">
        <v>0.86</v>
      </c>
      <c r="C44" s="26">
        <v>0.875</v>
      </c>
      <c r="D44" s="26">
        <v>7.7000000000000002E-3</v>
      </c>
      <c r="E44" s="26">
        <v>0.22</v>
      </c>
      <c r="F44" s="26">
        <v>1.4E-2</v>
      </c>
      <c r="G44" s="26" t="s">
        <v>1365</v>
      </c>
      <c r="L44" s="26"/>
      <c r="M44" t="s">
        <v>1366</v>
      </c>
    </row>
    <row r="45" spans="1:13">
      <c r="A45" s="26" t="s">
        <v>977</v>
      </c>
      <c r="B45" s="26">
        <v>0.86</v>
      </c>
      <c r="C45" s="26">
        <v>0.875</v>
      </c>
      <c r="D45" s="26">
        <v>7.7000000000000002E-3</v>
      </c>
      <c r="E45" s="26">
        <v>0.22</v>
      </c>
      <c r="F45" s="26">
        <v>1.4E-2</v>
      </c>
      <c r="G45" s="26" t="s">
        <v>1365</v>
      </c>
      <c r="L45" s="26"/>
    </row>
    <row r="46" spans="1:13">
      <c r="A46" s="26" t="s">
        <v>638</v>
      </c>
      <c r="B46" s="26">
        <v>0.86</v>
      </c>
      <c r="C46" s="26">
        <v>0.82499999999999996</v>
      </c>
      <c r="D46" s="26">
        <v>7.7000000000000002E-3</v>
      </c>
      <c r="E46" s="26">
        <v>0.22</v>
      </c>
      <c r="F46" s="26">
        <v>1.4E-2</v>
      </c>
      <c r="G46" s="26" t="s">
        <v>1365</v>
      </c>
      <c r="L46" s="27"/>
      <c r="M46" t="s">
        <v>1367</v>
      </c>
    </row>
    <row r="47" spans="1:13">
      <c r="A47" s="26" t="s">
        <v>978</v>
      </c>
      <c r="B47" s="26">
        <v>0.86</v>
      </c>
      <c r="C47" s="26">
        <v>0.82499999999999996</v>
      </c>
      <c r="D47" s="26">
        <v>7.7000000000000002E-3</v>
      </c>
      <c r="E47" s="26">
        <v>0.22</v>
      </c>
      <c r="F47" s="26">
        <v>1.4E-2</v>
      </c>
      <c r="G47" s="26" t="s">
        <v>1365</v>
      </c>
      <c r="L47" s="27"/>
    </row>
    <row r="48" spans="1:13">
      <c r="A48" s="26" t="s">
        <v>253</v>
      </c>
      <c r="B48" s="26">
        <v>0.86</v>
      </c>
      <c r="C48" s="26">
        <v>0.88749999999999996</v>
      </c>
      <c r="D48" s="26">
        <v>7.3000000000000001E-3</v>
      </c>
      <c r="E48" s="26">
        <v>0.25</v>
      </c>
      <c r="F48" s="26">
        <v>8.0000000000000002E-3</v>
      </c>
      <c r="G48" s="26" t="s">
        <v>1365</v>
      </c>
      <c r="L48" s="5"/>
      <c r="M48" t="s">
        <v>1368</v>
      </c>
    </row>
    <row r="49" spans="1:13">
      <c r="A49" s="26" t="s">
        <v>979</v>
      </c>
      <c r="B49" s="26">
        <v>0.86</v>
      </c>
      <c r="C49" s="26">
        <v>0.88749999999999996</v>
      </c>
      <c r="D49" s="26">
        <v>7.3000000000000001E-3</v>
      </c>
      <c r="E49" s="26">
        <v>0.25</v>
      </c>
      <c r="F49" s="26">
        <v>8.0000000000000002E-3</v>
      </c>
      <c r="G49" s="26" t="s">
        <v>1365</v>
      </c>
      <c r="L49" s="5"/>
    </row>
    <row r="50" spans="1:13">
      <c r="A50" s="26" t="s">
        <v>1117</v>
      </c>
      <c r="B50" s="26">
        <v>0.86</v>
      </c>
      <c r="C50" s="26">
        <v>0.86250000000000004</v>
      </c>
      <c r="D50" s="26">
        <v>7.4999999999999997E-3</v>
      </c>
      <c r="E50" s="26">
        <v>0.22</v>
      </c>
      <c r="F50" s="26">
        <v>8.9999999999999993E-3</v>
      </c>
      <c r="G50" s="26" t="s">
        <v>1365</v>
      </c>
      <c r="L50" s="28"/>
      <c r="M50" t="s">
        <v>1369</v>
      </c>
    </row>
    <row r="51" spans="1:13">
      <c r="A51" s="26" t="s">
        <v>1120</v>
      </c>
      <c r="B51" s="26">
        <v>0.86</v>
      </c>
      <c r="C51" s="26">
        <v>0.86250000000000004</v>
      </c>
      <c r="D51" s="26">
        <v>7.4999999999999997E-3</v>
      </c>
      <c r="E51" s="26">
        <v>0.22</v>
      </c>
      <c r="F51" s="26">
        <v>8.9999999999999993E-3</v>
      </c>
      <c r="G51" s="26" t="s">
        <v>1365</v>
      </c>
      <c r="L51" s="28"/>
    </row>
    <row r="52" spans="1:13">
      <c r="A52" s="26" t="s">
        <v>644</v>
      </c>
      <c r="B52" s="26">
        <v>0.86</v>
      </c>
      <c r="C52" s="26">
        <v>0.97499999999999998</v>
      </c>
      <c r="D52" s="26">
        <v>7.6E-3</v>
      </c>
      <c r="E52" s="26">
        <v>0.22</v>
      </c>
      <c r="F52" s="26">
        <v>8.9999999999999993E-3</v>
      </c>
      <c r="G52" s="26" t="s">
        <v>1365</v>
      </c>
    </row>
    <row r="53" spans="1:13">
      <c r="A53" s="26" t="s">
        <v>648</v>
      </c>
      <c r="B53" s="26">
        <v>0.91</v>
      </c>
      <c r="C53" s="26">
        <v>1.71</v>
      </c>
      <c r="D53" s="26">
        <v>1.0699999999999999E-2</v>
      </c>
      <c r="E53" s="26">
        <v>0.22</v>
      </c>
      <c r="F53" s="26">
        <v>8.9999999999999993E-3</v>
      </c>
      <c r="G53" s="26" t="s">
        <v>1365</v>
      </c>
    </row>
    <row r="54" spans="1:13">
      <c r="A54" s="26" t="s">
        <v>650</v>
      </c>
      <c r="B54" s="26">
        <v>0.91</v>
      </c>
      <c r="C54" s="26">
        <v>1.38</v>
      </c>
      <c r="D54" s="26">
        <v>1.0699999999999999E-2</v>
      </c>
      <c r="E54" s="26">
        <v>0.22</v>
      </c>
      <c r="F54" s="26">
        <v>8.9999999999999993E-3</v>
      </c>
      <c r="G54" s="26" t="s">
        <v>1365</v>
      </c>
    </row>
    <row r="55" spans="1:13">
      <c r="A55" s="26" t="s">
        <v>651</v>
      </c>
      <c r="B55" s="26">
        <v>0.91</v>
      </c>
      <c r="C55" s="26">
        <v>1.71</v>
      </c>
      <c r="D55" s="26">
        <v>1.0699999999999999E-2</v>
      </c>
      <c r="E55" s="26">
        <v>0.22</v>
      </c>
      <c r="F55" s="26">
        <v>8.9999999999999993E-3</v>
      </c>
      <c r="G55" s="26" t="s">
        <v>1365</v>
      </c>
    </row>
    <row r="56" spans="1:13">
      <c r="A56" s="26" t="s">
        <v>654</v>
      </c>
      <c r="B56" s="26">
        <v>0.91</v>
      </c>
      <c r="C56" s="26">
        <v>1.38</v>
      </c>
      <c r="D56" s="26">
        <v>1.0699999999999999E-2</v>
      </c>
      <c r="E56" s="26">
        <v>0.22</v>
      </c>
      <c r="F56" s="26">
        <v>8.9999999999999993E-3</v>
      </c>
      <c r="G56" s="26" t="s">
        <v>1365</v>
      </c>
    </row>
    <row r="57" spans="1:13">
      <c r="A57" s="26" t="s">
        <v>1145</v>
      </c>
      <c r="B57" s="26">
        <v>0.91</v>
      </c>
      <c r="C57" s="26">
        <v>1.3</v>
      </c>
      <c r="D57" s="26">
        <v>1.43E-2</v>
      </c>
      <c r="E57" s="26">
        <v>0.22</v>
      </c>
      <c r="F57" s="26">
        <v>8.9999999999999993E-3</v>
      </c>
      <c r="G57" s="26" t="s">
        <v>1365</v>
      </c>
    </row>
    <row r="58" spans="1:13">
      <c r="A58" s="26" t="s">
        <v>983</v>
      </c>
      <c r="B58" s="26">
        <v>0.86</v>
      </c>
      <c r="C58" s="26">
        <v>1.4</v>
      </c>
      <c r="D58" s="26">
        <v>1.67E-2</v>
      </c>
      <c r="E58" s="26">
        <v>0.19</v>
      </c>
      <c r="F58" s="26">
        <v>2.4299999999999999E-2</v>
      </c>
      <c r="G58" s="26" t="s">
        <v>1370</v>
      </c>
    </row>
    <row r="59" spans="1:13">
      <c r="A59" s="26" t="s">
        <v>984</v>
      </c>
      <c r="B59" s="26">
        <v>0.86</v>
      </c>
      <c r="C59" s="26">
        <v>2.2000000000000002</v>
      </c>
      <c r="D59" s="26">
        <v>1.2E-2</v>
      </c>
      <c r="E59" s="26">
        <v>0.19</v>
      </c>
      <c r="F59" s="26">
        <v>1.6E-2</v>
      </c>
      <c r="G59" s="26" t="s">
        <v>1370</v>
      </c>
    </row>
    <row r="60" spans="1:13">
      <c r="A60" s="26" t="s">
        <v>1148</v>
      </c>
      <c r="B60" s="26">
        <v>0.86</v>
      </c>
      <c r="C60" s="26">
        <v>1.75</v>
      </c>
      <c r="D60" s="26">
        <v>1.4E-2</v>
      </c>
      <c r="E60" s="26">
        <v>0.19</v>
      </c>
      <c r="F60" s="26">
        <v>0.02</v>
      </c>
      <c r="G60" s="26" t="s">
        <v>1370</v>
      </c>
    </row>
    <row r="61" spans="1:13">
      <c r="A61" s="26" t="s">
        <v>1147</v>
      </c>
      <c r="B61" s="26">
        <v>0.86</v>
      </c>
      <c r="C61" s="26">
        <v>2.2999999999999998</v>
      </c>
      <c r="D61" s="26">
        <v>7.0000000000000001E-3</v>
      </c>
      <c r="E61" s="26">
        <v>0.22</v>
      </c>
      <c r="F61" s="26">
        <v>5.0000000000000001E-3</v>
      </c>
      <c r="G61" s="26" t="s">
        <v>1370</v>
      </c>
    </row>
    <row r="62" spans="1:13">
      <c r="A62" s="27" t="s">
        <v>1122</v>
      </c>
      <c r="B62" s="27">
        <v>0.2</v>
      </c>
      <c r="C62" s="27">
        <v>0.66</v>
      </c>
      <c r="D62" s="27">
        <v>2.2499999999999999E-2</v>
      </c>
      <c r="E62" s="27">
        <v>0.2</v>
      </c>
      <c r="F62" s="27">
        <v>1.4E-2</v>
      </c>
      <c r="G62" s="27" t="s">
        <v>1365</v>
      </c>
    </row>
    <row r="63" spans="1:13">
      <c r="A63" s="5" t="s">
        <v>657</v>
      </c>
      <c r="B63" s="5">
        <v>0.83499999999999996</v>
      </c>
      <c r="C63" s="5">
        <v>0.25</v>
      </c>
      <c r="D63" s="5">
        <v>2.4E-2</v>
      </c>
      <c r="E63" s="5">
        <v>0.54</v>
      </c>
      <c r="F63" s="5">
        <v>1.6E-2</v>
      </c>
      <c r="G63" s="5" t="s">
        <v>1365</v>
      </c>
    </row>
    <row r="64" spans="1:13">
      <c r="A64" s="5" t="s">
        <v>658</v>
      </c>
      <c r="B64" s="5">
        <v>0.85</v>
      </c>
      <c r="C64" s="5"/>
      <c r="D64" s="5">
        <v>1.4999999999999999E-2</v>
      </c>
      <c r="E64" s="5">
        <v>0.6</v>
      </c>
      <c r="F64" s="5">
        <v>1.2E-2</v>
      </c>
      <c r="G64" s="5" t="s">
        <v>1370</v>
      </c>
    </row>
    <row r="65" spans="1:7">
      <c r="A65" s="5" t="s">
        <v>659</v>
      </c>
      <c r="B65" s="633">
        <v>0.3</v>
      </c>
      <c r="C65" s="5"/>
      <c r="D65" s="5">
        <v>1.4999999999999999E-2</v>
      </c>
      <c r="E65" s="5">
        <v>0.6</v>
      </c>
      <c r="F65" s="5">
        <v>1.2E-2</v>
      </c>
      <c r="G65" s="5" t="s">
        <v>1370</v>
      </c>
    </row>
    <row r="66" spans="1:7">
      <c r="A66" s="5" t="s">
        <v>661</v>
      </c>
      <c r="B66" s="5">
        <v>0.86</v>
      </c>
      <c r="C66" s="5"/>
      <c r="D66" s="5">
        <v>0.02</v>
      </c>
      <c r="E66" s="5">
        <v>2</v>
      </c>
      <c r="F66" s="5">
        <v>1.4999999999999999E-2</v>
      </c>
      <c r="G66" s="5" t="s">
        <v>1370</v>
      </c>
    </row>
    <row r="67" spans="1:7">
      <c r="A67" s="5" t="s">
        <v>665</v>
      </c>
      <c r="B67" s="5">
        <v>0.3</v>
      </c>
      <c r="C67" s="5"/>
      <c r="D67" s="5">
        <v>0.02</v>
      </c>
      <c r="E67" s="5">
        <v>2</v>
      </c>
      <c r="F67" s="5">
        <v>1.4999999999999999E-2</v>
      </c>
      <c r="G67" s="5" t="s">
        <v>1370</v>
      </c>
    </row>
    <row r="68" spans="1:7">
      <c r="A68" s="5" t="s">
        <v>670</v>
      </c>
      <c r="B68" s="5">
        <v>0.35</v>
      </c>
      <c r="C68" s="5">
        <v>1</v>
      </c>
      <c r="D68" s="5">
        <v>9.4000000000000004E-3</v>
      </c>
      <c r="E68" s="5">
        <v>0.22</v>
      </c>
      <c r="F68" s="5">
        <v>7.0000000000000001E-3</v>
      </c>
      <c r="G68" s="5" t="s">
        <v>1365</v>
      </c>
    </row>
    <row r="69" spans="1:7">
      <c r="A69" s="5" t="s">
        <v>671</v>
      </c>
      <c r="B69" s="5">
        <v>0.85</v>
      </c>
      <c r="C69" s="5"/>
      <c r="D69" s="5">
        <v>0.02</v>
      </c>
      <c r="E69" s="5">
        <v>0.54</v>
      </c>
      <c r="F69" s="5">
        <v>1.2E-2</v>
      </c>
      <c r="G69" s="5" t="s">
        <v>1365</v>
      </c>
    </row>
    <row r="70" spans="1:7">
      <c r="A70" s="5" t="s">
        <v>672</v>
      </c>
      <c r="B70" s="5">
        <v>0.3</v>
      </c>
      <c r="C70" s="5"/>
      <c r="D70" s="5">
        <v>0.02</v>
      </c>
      <c r="E70" s="5">
        <v>0.54</v>
      </c>
      <c r="F70" s="5">
        <v>1.2E-2</v>
      </c>
      <c r="G70" s="5" t="s">
        <v>1370</v>
      </c>
    </row>
    <row r="71" spans="1:7">
      <c r="A71" s="5" t="s">
        <v>675</v>
      </c>
      <c r="B71" s="5">
        <v>0.3</v>
      </c>
      <c r="C71" s="5"/>
      <c r="D71" s="5">
        <v>0.02</v>
      </c>
      <c r="E71" s="5">
        <v>0.54</v>
      </c>
      <c r="F71" s="5">
        <v>7.0000000000000001E-3</v>
      </c>
      <c r="G71" s="5" t="s">
        <v>1365</v>
      </c>
    </row>
    <row r="72" spans="1:7">
      <c r="A72" s="5" t="s">
        <v>678</v>
      </c>
      <c r="B72" s="5">
        <v>0.3</v>
      </c>
      <c r="C72" s="5"/>
      <c r="D72" s="5">
        <v>0.02</v>
      </c>
      <c r="E72" s="5">
        <v>0.54</v>
      </c>
      <c r="F72" s="5">
        <v>1.6E-2</v>
      </c>
      <c r="G72" s="5" t="s">
        <v>1365</v>
      </c>
    </row>
    <row r="73" spans="1:7">
      <c r="A73" s="5" t="s">
        <v>282</v>
      </c>
      <c r="B73" s="5">
        <v>0.86</v>
      </c>
      <c r="C73" s="5">
        <v>1.6</v>
      </c>
      <c r="D73" s="5">
        <v>1.3599999999999999E-2</v>
      </c>
      <c r="E73" s="5">
        <v>0.19</v>
      </c>
      <c r="F73" s="5">
        <v>2.2700000000000001E-2</v>
      </c>
      <c r="G73" s="5" t="s">
        <v>1370</v>
      </c>
    </row>
    <row r="74" spans="1:7">
      <c r="A74" s="5" t="s">
        <v>681</v>
      </c>
      <c r="B74" s="5">
        <v>0.06</v>
      </c>
      <c r="C74" s="5">
        <v>1.6</v>
      </c>
      <c r="D74" s="5">
        <v>1.29E-2</v>
      </c>
      <c r="E74" s="5">
        <v>0.19</v>
      </c>
      <c r="F74" s="5">
        <v>0.02</v>
      </c>
      <c r="G74" s="5" t="s">
        <v>1370</v>
      </c>
    </row>
    <row r="75" spans="1:7">
      <c r="A75" s="5" t="s">
        <v>682</v>
      </c>
      <c r="B75" s="5">
        <v>0.85</v>
      </c>
      <c r="C75" s="5"/>
      <c r="D75" s="5">
        <v>2.5000000000000001E-2</v>
      </c>
      <c r="E75" s="5">
        <v>1.7</v>
      </c>
      <c r="F75" s="5">
        <v>1.7000000000000001E-2</v>
      </c>
      <c r="G75" s="5" t="s">
        <v>1370</v>
      </c>
    </row>
    <row r="76" spans="1:7">
      <c r="A76" s="5" t="s">
        <v>685</v>
      </c>
      <c r="B76" s="5">
        <v>0.35</v>
      </c>
      <c r="C76" s="5"/>
      <c r="D76" s="5">
        <v>2.5000000000000001E-2</v>
      </c>
      <c r="E76" s="5">
        <v>1.7</v>
      </c>
      <c r="F76" s="5">
        <v>1.7000000000000001E-2</v>
      </c>
      <c r="G76" s="5" t="s">
        <v>1370</v>
      </c>
    </row>
    <row r="77" spans="1:7">
      <c r="A77" s="5" t="s">
        <v>689</v>
      </c>
      <c r="B77" s="5">
        <v>0.85</v>
      </c>
      <c r="C77" s="5"/>
      <c r="D77" s="5">
        <v>2.5000000000000001E-2</v>
      </c>
      <c r="E77" s="5">
        <v>0.9</v>
      </c>
      <c r="F77" s="5">
        <v>1.6E-2</v>
      </c>
      <c r="G77" s="5" t="s">
        <v>1370</v>
      </c>
    </row>
    <row r="78" spans="1:7">
      <c r="A78" s="5" t="s">
        <v>692</v>
      </c>
      <c r="B78" s="5">
        <v>0.35</v>
      </c>
      <c r="C78" s="5"/>
      <c r="D78" s="5">
        <v>2.5000000000000001E-2</v>
      </c>
      <c r="E78" s="5">
        <v>0.9</v>
      </c>
      <c r="F78" s="5">
        <v>1.6E-2</v>
      </c>
      <c r="G78" s="5" t="s">
        <v>1370</v>
      </c>
    </row>
    <row r="79" spans="1:7">
      <c r="A79" s="5" t="s">
        <v>696</v>
      </c>
      <c r="B79" s="5">
        <v>0.35</v>
      </c>
      <c r="C79" s="5"/>
      <c r="D79" s="5">
        <v>8.0000000000000002E-3</v>
      </c>
      <c r="E79" s="5">
        <v>0.4</v>
      </c>
      <c r="F79" s="5">
        <v>2.1999999999999999E-2</v>
      </c>
      <c r="G79" s="5" t="s">
        <v>1370</v>
      </c>
    </row>
    <row r="80" spans="1:7">
      <c r="A80" s="28" t="s">
        <v>1154</v>
      </c>
      <c r="B80" s="28">
        <v>0.83499999999999996</v>
      </c>
      <c r="C80" s="28">
        <v>0.4</v>
      </c>
      <c r="D80" s="28">
        <v>2.4E-2</v>
      </c>
      <c r="E80" s="28">
        <v>0.54</v>
      </c>
      <c r="F80" s="28">
        <v>1.6E-2</v>
      </c>
      <c r="G80" s="28" t="s">
        <v>1365</v>
      </c>
    </row>
    <row r="81" spans="1:7">
      <c r="A81" s="28" t="s">
        <v>1155</v>
      </c>
      <c r="B81" s="28">
        <v>0.85</v>
      </c>
      <c r="C81" s="28"/>
      <c r="D81" s="28">
        <v>0.02</v>
      </c>
      <c r="E81" s="28">
        <v>2</v>
      </c>
      <c r="F81" s="28">
        <v>1.4999999999999999E-2</v>
      </c>
      <c r="G81" s="28" t="s">
        <v>1370</v>
      </c>
    </row>
    <row r="82" spans="1:7">
      <c r="A82" s="28" t="s">
        <v>1156</v>
      </c>
      <c r="B82" s="28">
        <v>0.3</v>
      </c>
      <c r="C82" s="28"/>
      <c r="D82" s="28">
        <v>0.02</v>
      </c>
      <c r="E82" s="28">
        <v>2</v>
      </c>
      <c r="F82" s="28">
        <v>1.4999999999999999E-2</v>
      </c>
      <c r="G82" s="28" t="s">
        <v>1370</v>
      </c>
    </row>
    <row r="86" spans="1:7">
      <c r="A86" s="1" t="s">
        <v>1371</v>
      </c>
    </row>
    <row r="87" spans="1:7">
      <c r="A87" t="s">
        <v>627</v>
      </c>
    </row>
    <row r="88" spans="1:7">
      <c r="A88" t="s">
        <v>159</v>
      </c>
    </row>
    <row r="89" spans="1:7">
      <c r="A89" t="s">
        <v>980</v>
      </c>
    </row>
    <row r="90" spans="1:7">
      <c r="A90" t="s">
        <v>634</v>
      </c>
    </row>
    <row r="91" spans="1:7">
      <c r="A91" t="s">
        <v>638</v>
      </c>
    </row>
    <row r="92" spans="1:7">
      <c r="A92" t="s">
        <v>253</v>
      </c>
    </row>
    <row r="93" spans="1:7">
      <c r="A93" t="s">
        <v>1117</v>
      </c>
    </row>
    <row r="94" spans="1:7">
      <c r="A94" t="s">
        <v>644</v>
      </c>
    </row>
    <row r="95" spans="1:7">
      <c r="A95" t="s">
        <v>1122</v>
      </c>
    </row>
    <row r="96" spans="1:7">
      <c r="A96" t="s">
        <v>648</v>
      </c>
    </row>
    <row r="97" spans="1:1">
      <c r="A97" t="s">
        <v>650</v>
      </c>
    </row>
    <row r="98" spans="1:1">
      <c r="A98" t="s">
        <v>651</v>
      </c>
    </row>
    <row r="99" spans="1:1">
      <c r="A99" t="s">
        <v>654</v>
      </c>
    </row>
    <row r="100" spans="1:1">
      <c r="A100" t="s">
        <v>1145</v>
      </c>
    </row>
    <row r="101" spans="1:1">
      <c r="A101" t="s">
        <v>1146</v>
      </c>
    </row>
    <row r="102" spans="1:1">
      <c r="A102" t="s">
        <v>1147</v>
      </c>
    </row>
    <row r="103" spans="1:1">
      <c r="A103" t="s">
        <v>983</v>
      </c>
    </row>
    <row r="104" spans="1:1">
      <c r="A104" t="s">
        <v>984</v>
      </c>
    </row>
    <row r="105" spans="1:1">
      <c r="A105" t="s">
        <v>1148</v>
      </c>
    </row>
  </sheetData>
  <sheetProtection algorithmName="SHA-512" hashValue="1m2+FlakqOg5e1WI4TY/yPwNZoSAmUFpoakFwFIWSqSKZ0d4CLMclKA6igKSS1Haeqt5X/OWT/iCp/tvVRlLww==" saltValue="bA8RtD2FAtGHp75gd0O6pA==" spinCount="100000" sheet="1" objects="1" scenarios="1"/>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F3124-4753-447D-8936-F34C9F85D3EE}">
  <sheetPr codeName="Sheet8"/>
  <dimension ref="A1:AC369"/>
  <sheetViews>
    <sheetView zoomScale="70" zoomScaleNormal="70" workbookViewId="0">
      <selection activeCell="S307" sqref="S307"/>
    </sheetView>
  </sheetViews>
  <sheetFormatPr defaultColWidth="8.54296875" defaultRowHeight="14.5"/>
  <cols>
    <col min="2" max="2" width="11.54296875" customWidth="1"/>
    <col min="11" max="11" width="31.54296875" customWidth="1"/>
    <col min="13" max="13" width="16.54296875" customWidth="1"/>
    <col min="14" max="14" width="31.453125" customWidth="1"/>
    <col min="15" max="15" width="35.453125" customWidth="1"/>
    <col min="16" max="16" width="25.453125" customWidth="1"/>
    <col min="17" max="17" width="43.453125" customWidth="1"/>
    <col min="18" max="18" width="20.453125" customWidth="1"/>
    <col min="19" max="19" width="18.54296875" customWidth="1"/>
    <col min="20" max="20" width="26.453125" customWidth="1"/>
    <col min="21" max="21" width="22.453125" customWidth="1"/>
    <col min="22" max="22" width="24.54296875" customWidth="1"/>
    <col min="24" max="24" width="12" customWidth="1"/>
    <col min="25" max="25" width="81.453125" customWidth="1"/>
    <col min="26" max="29" width="18.54296875" customWidth="1"/>
  </cols>
  <sheetData>
    <row r="1" spans="2:21" s="63" customFormat="1" ht="15" thickBot="1">
      <c r="B1" s="95" t="s">
        <v>1372</v>
      </c>
    </row>
    <row r="2" spans="2:21" ht="15" thickBot="1">
      <c r="B2" s="15" t="s">
        <v>1373</v>
      </c>
      <c r="C2" s="16"/>
      <c r="D2" s="16"/>
      <c r="E2" s="16"/>
      <c r="F2" s="16"/>
      <c r="G2" s="16"/>
      <c r="H2" s="16"/>
      <c r="I2" s="16"/>
      <c r="J2" s="16"/>
      <c r="K2" s="17"/>
    </row>
    <row r="3" spans="2:21" ht="29">
      <c r="B3" s="80" t="s">
        <v>875</v>
      </c>
      <c r="K3" s="21"/>
      <c r="O3" s="81" t="s">
        <v>1374</v>
      </c>
      <c r="P3" s="82" t="s">
        <v>1375</v>
      </c>
      <c r="Q3" s="83" t="s">
        <v>1376</v>
      </c>
      <c r="R3" s="82" t="s">
        <v>1377</v>
      </c>
      <c r="S3" s="82" t="s">
        <v>1378</v>
      </c>
      <c r="T3" s="84" t="s">
        <v>1232</v>
      </c>
    </row>
    <row r="4" spans="2:21">
      <c r="B4" s="20" t="s">
        <v>876</v>
      </c>
      <c r="C4" t="s">
        <v>877</v>
      </c>
      <c r="K4" s="21"/>
      <c r="O4" s="1371" t="s">
        <v>874</v>
      </c>
      <c r="P4" t="s">
        <v>1379</v>
      </c>
      <c r="Q4" s="1">
        <v>8</v>
      </c>
      <c r="R4">
        <v>40</v>
      </c>
      <c r="S4" t="s">
        <v>1380</v>
      </c>
      <c r="T4" s="21" t="s">
        <v>1293</v>
      </c>
    </row>
    <row r="5" spans="2:21" ht="15" thickBot="1">
      <c r="B5" s="85" t="s">
        <v>878</v>
      </c>
      <c r="C5" t="s">
        <v>879</v>
      </c>
      <c r="K5" s="21"/>
      <c r="O5" s="1375"/>
      <c r="P5" s="36" t="s">
        <v>1381</v>
      </c>
      <c r="Q5" s="36">
        <v>5</v>
      </c>
      <c r="R5" s="36">
        <v>31</v>
      </c>
      <c r="S5" s="36" t="s">
        <v>1380</v>
      </c>
      <c r="T5" s="37" t="s">
        <v>1293</v>
      </c>
    </row>
    <row r="6" spans="2:21" ht="15" thickBot="1">
      <c r="B6" s="86" t="s">
        <v>880</v>
      </c>
      <c r="C6" s="87" t="s">
        <v>1382</v>
      </c>
      <c r="D6" s="87"/>
      <c r="E6" s="87"/>
      <c r="F6" s="87"/>
      <c r="G6" s="87"/>
      <c r="H6" s="87"/>
      <c r="I6" s="36"/>
      <c r="J6" s="36"/>
      <c r="K6" s="37"/>
    </row>
    <row r="8" spans="2:21" ht="15" thickBot="1"/>
    <row r="9" spans="2:21">
      <c r="B9" s="15" t="s">
        <v>1383</v>
      </c>
      <c r="C9" s="16"/>
      <c r="D9" s="16"/>
      <c r="E9" s="16"/>
      <c r="F9" s="16"/>
      <c r="G9" s="16"/>
      <c r="H9" s="16"/>
      <c r="I9" s="16"/>
      <c r="J9" s="16"/>
      <c r="K9" s="16"/>
      <c r="L9" s="16"/>
      <c r="M9" s="17"/>
    </row>
    <row r="10" spans="2:21">
      <c r="B10" s="20"/>
      <c r="M10" s="21"/>
      <c r="O10" s="1"/>
      <c r="P10" s="1"/>
      <c r="Q10" s="1"/>
      <c r="R10" s="1"/>
      <c r="S10" s="1"/>
      <c r="T10" s="1"/>
    </row>
    <row r="11" spans="2:21" ht="15" thickBot="1">
      <c r="B11" s="1076" t="s">
        <v>882</v>
      </c>
      <c r="C11" s="1074"/>
      <c r="M11" s="21"/>
    </row>
    <row r="12" spans="2:21" ht="15" thickBot="1">
      <c r="B12" s="115" t="s">
        <v>883</v>
      </c>
      <c r="C12" s="31" t="s">
        <v>884</v>
      </c>
      <c r="D12" s="31"/>
      <c r="M12" s="21"/>
      <c r="P12" s="1384" t="s">
        <v>1384</v>
      </c>
      <c r="Q12" s="1385"/>
      <c r="R12" s="1385"/>
      <c r="S12" s="1385"/>
      <c r="T12" s="1385"/>
      <c r="U12" s="1386"/>
    </row>
    <row r="13" spans="2:21" ht="15" thickBot="1">
      <c r="B13" s="1075" t="s">
        <v>885</v>
      </c>
      <c r="C13" s="31" t="s">
        <v>886</v>
      </c>
      <c r="D13" s="31"/>
      <c r="M13" s="21"/>
      <c r="P13" s="20"/>
      <c r="R13" s="1344" t="s">
        <v>1385</v>
      </c>
      <c r="S13" s="1349"/>
      <c r="T13" s="1376"/>
      <c r="U13" s="21" t="s">
        <v>1232</v>
      </c>
    </row>
    <row r="14" spans="2:21">
      <c r="B14" s="115" t="s">
        <v>887</v>
      </c>
      <c r="C14" s="31" t="s">
        <v>636</v>
      </c>
      <c r="D14" s="31"/>
      <c r="M14" s="21"/>
      <c r="P14" s="15"/>
      <c r="Q14" s="16"/>
      <c r="R14" s="82" t="s">
        <v>1386</v>
      </c>
      <c r="S14" s="82" t="s">
        <v>1387</v>
      </c>
      <c r="T14" s="84" t="s">
        <v>1388</v>
      </c>
      <c r="U14" s="21"/>
    </row>
    <row r="15" spans="2:21">
      <c r="B15" s="89"/>
      <c r="M15" s="21"/>
      <c r="P15" s="1371" t="s">
        <v>874</v>
      </c>
      <c r="Q15" t="s">
        <v>1379</v>
      </c>
      <c r="R15" s="1">
        <v>0.19</v>
      </c>
      <c r="S15">
        <v>0.28000000000000003</v>
      </c>
      <c r="T15" s="21">
        <v>0.37</v>
      </c>
      <c r="U15" s="21" t="s">
        <v>1293</v>
      </c>
    </row>
    <row r="16" spans="2:21" ht="15" thickBot="1">
      <c r="B16" s="86"/>
      <c r="C16" s="87"/>
      <c r="D16" s="87"/>
      <c r="E16" s="87"/>
      <c r="F16" s="36"/>
      <c r="G16" s="36"/>
      <c r="H16" s="36"/>
      <c r="I16" s="36"/>
      <c r="J16" s="36"/>
      <c r="K16" s="36"/>
      <c r="L16" s="36"/>
      <c r="M16" s="37"/>
      <c r="P16" s="1375"/>
      <c r="Q16" s="36" t="s">
        <v>1381</v>
      </c>
      <c r="R16" s="36">
        <v>0.1</v>
      </c>
      <c r="S16" s="36">
        <v>0.15</v>
      </c>
      <c r="T16" s="37">
        <v>0.2</v>
      </c>
      <c r="U16" s="37" t="s">
        <v>1293</v>
      </c>
    </row>
    <row r="19" spans="2:20">
      <c r="R19" s="1"/>
      <c r="S19" s="1"/>
      <c r="T19" s="1"/>
    </row>
    <row r="21" spans="2:20">
      <c r="B21" s="1"/>
    </row>
    <row r="25" spans="2:20" ht="15" thickBot="1">
      <c r="B25" s="33"/>
      <c r="C25" s="33"/>
      <c r="D25" s="33"/>
      <c r="E25" s="33"/>
      <c r="F25" s="33"/>
    </row>
    <row r="26" spans="2:20">
      <c r="P26" s="90" t="s">
        <v>1389</v>
      </c>
      <c r="Q26" s="1349" t="s">
        <v>1390</v>
      </c>
      <c r="R26" s="1349"/>
      <c r="S26" s="82"/>
      <c r="T26" s="84"/>
    </row>
    <row r="27" spans="2:20">
      <c r="P27" s="80" t="s">
        <v>1374</v>
      </c>
      <c r="Q27" s="1" t="s">
        <v>1391</v>
      </c>
      <c r="R27" s="1" t="s">
        <v>1392</v>
      </c>
      <c r="S27" s="1" t="s">
        <v>1378</v>
      </c>
      <c r="T27" s="88" t="s">
        <v>1232</v>
      </c>
    </row>
    <row r="28" spans="2:20" ht="15" thickBot="1">
      <c r="P28" s="58" t="s">
        <v>874</v>
      </c>
      <c r="Q28" s="1073">
        <v>0.85</v>
      </c>
      <c r="R28" s="36">
        <v>0.9</v>
      </c>
      <c r="S28" s="91" t="s">
        <v>1393</v>
      </c>
      <c r="T28" s="37" t="s">
        <v>1293</v>
      </c>
    </row>
    <row r="29" spans="2:20">
      <c r="B29" s="15" t="s">
        <v>888</v>
      </c>
      <c r="C29" s="16"/>
      <c r="D29" s="16"/>
      <c r="E29" s="16"/>
      <c r="F29" s="16"/>
      <c r="G29" s="16"/>
      <c r="H29" s="16"/>
      <c r="I29" s="16"/>
      <c r="J29" s="16"/>
      <c r="K29" s="16"/>
      <c r="L29" s="17"/>
    </row>
    <row r="30" spans="2:20">
      <c r="B30" s="20"/>
      <c r="L30" s="21"/>
      <c r="O30" s="1"/>
      <c r="P30" s="1383"/>
      <c r="Q30" s="1383"/>
      <c r="R30" s="1"/>
      <c r="S30" s="1"/>
    </row>
    <row r="31" spans="2:20">
      <c r="B31" s="80" t="s">
        <v>889</v>
      </c>
      <c r="L31" s="21"/>
      <c r="O31" s="1"/>
      <c r="P31" s="1"/>
      <c r="Q31" s="1"/>
      <c r="R31" s="1"/>
      <c r="S31" s="1"/>
    </row>
    <row r="32" spans="2:20">
      <c r="B32" s="20"/>
      <c r="L32" s="21"/>
      <c r="R32" s="46"/>
    </row>
    <row r="33" spans="2:19">
      <c r="B33" s="20" t="s">
        <v>890</v>
      </c>
      <c r="C33" t="s">
        <v>891</v>
      </c>
      <c r="L33" s="21"/>
    </row>
    <row r="34" spans="2:19">
      <c r="B34" s="92" t="s">
        <v>892</v>
      </c>
      <c r="C34" t="s">
        <v>893</v>
      </c>
      <c r="L34" s="21"/>
    </row>
    <row r="35" spans="2:19" ht="15" thickBot="1">
      <c r="B35" s="86" t="s">
        <v>894</v>
      </c>
      <c r="C35" s="87" t="s">
        <v>895</v>
      </c>
      <c r="D35" s="87"/>
      <c r="E35" s="87"/>
      <c r="F35" s="87"/>
      <c r="G35" s="87"/>
      <c r="H35" s="87"/>
      <c r="I35" s="87"/>
      <c r="J35" s="36"/>
      <c r="K35" s="36"/>
      <c r="L35" s="37"/>
    </row>
    <row r="36" spans="2:19" ht="15" thickBot="1">
      <c r="O36" s="1340" t="s">
        <v>1394</v>
      </c>
      <c r="P36" s="1350"/>
      <c r="Q36" s="1350"/>
      <c r="R36" s="1351"/>
    </row>
    <row r="37" spans="2:19" ht="15" thickBot="1">
      <c r="O37" s="80" t="s">
        <v>1395</v>
      </c>
      <c r="P37" s="1" t="s">
        <v>1396</v>
      </c>
      <c r="Q37" s="1" t="s">
        <v>1232</v>
      </c>
      <c r="R37" s="88" t="s">
        <v>1233</v>
      </c>
    </row>
    <row r="38" spans="2:19">
      <c r="B38" s="15" t="s">
        <v>896</v>
      </c>
      <c r="C38" s="16"/>
      <c r="D38" s="16"/>
      <c r="E38" s="16"/>
      <c r="F38" s="16"/>
      <c r="G38" s="16"/>
      <c r="H38" s="16"/>
      <c r="I38" s="16"/>
      <c r="J38" s="16"/>
      <c r="K38" s="17"/>
      <c r="O38" s="20"/>
      <c r="R38" s="21"/>
      <c r="S38" s="64"/>
    </row>
    <row r="39" spans="2:19">
      <c r="B39" s="20"/>
      <c r="K39" s="21"/>
      <c r="O39" s="20" t="s">
        <v>1397</v>
      </c>
      <c r="P39">
        <v>0</v>
      </c>
      <c r="Q39" t="s">
        <v>1293</v>
      </c>
      <c r="R39" s="21" t="s">
        <v>1398</v>
      </c>
      <c r="S39" t="s">
        <v>982</v>
      </c>
    </row>
    <row r="40" spans="2:19">
      <c r="B40" s="80" t="s">
        <v>897</v>
      </c>
      <c r="K40" s="21"/>
      <c r="O40" s="20" t="s">
        <v>1399</v>
      </c>
      <c r="P40">
        <v>0</v>
      </c>
      <c r="Q40" t="s">
        <v>1293</v>
      </c>
      <c r="R40" s="93" t="s">
        <v>1400</v>
      </c>
      <c r="S40" t="s">
        <v>982</v>
      </c>
    </row>
    <row r="41" spans="2:19">
      <c r="B41" s="20"/>
      <c r="K41" s="21"/>
      <c r="O41" s="20" t="s">
        <v>1401</v>
      </c>
      <c r="P41">
        <v>5.0000000000000001E-3</v>
      </c>
      <c r="Q41" t="s">
        <v>1293</v>
      </c>
      <c r="R41" s="21"/>
    </row>
    <row r="42" spans="2:19">
      <c r="B42" s="20" t="s">
        <v>898</v>
      </c>
      <c r="C42" t="s">
        <v>899</v>
      </c>
      <c r="K42" s="21"/>
      <c r="O42" s="20" t="s">
        <v>341</v>
      </c>
      <c r="P42">
        <v>0.02</v>
      </c>
      <c r="Q42" t="s">
        <v>1293</v>
      </c>
      <c r="R42" s="21"/>
    </row>
    <row r="43" spans="2:19">
      <c r="B43" s="32" t="s">
        <v>880</v>
      </c>
      <c r="C43" s="33" t="s">
        <v>900</v>
      </c>
      <c r="D43" s="33"/>
      <c r="E43" s="33"/>
      <c r="F43" s="33"/>
      <c r="G43" s="33"/>
      <c r="K43" s="21"/>
      <c r="O43" s="20" t="s">
        <v>340</v>
      </c>
      <c r="P43">
        <v>5.0000000000000001E-3</v>
      </c>
      <c r="Q43" t="s">
        <v>1293</v>
      </c>
      <c r="R43" s="21"/>
    </row>
    <row r="44" spans="2:19">
      <c r="B44" s="92" t="s">
        <v>890</v>
      </c>
      <c r="C44" t="s">
        <v>901</v>
      </c>
      <c r="K44" s="21"/>
      <c r="O44" s="20" t="s">
        <v>1402</v>
      </c>
      <c r="P44">
        <v>0</v>
      </c>
      <c r="Q44" t="s">
        <v>1293</v>
      </c>
      <c r="R44" s="21"/>
    </row>
    <row r="45" spans="2:19">
      <c r="B45" s="32" t="s">
        <v>902</v>
      </c>
      <c r="C45" s="33" t="s">
        <v>903</v>
      </c>
      <c r="D45" s="33"/>
      <c r="E45" s="33"/>
      <c r="F45" s="33"/>
      <c r="G45" s="33"/>
      <c r="H45" s="33"/>
      <c r="I45" s="33"/>
      <c r="J45" s="33"/>
      <c r="K45" s="57"/>
      <c r="O45" s="20" t="s">
        <v>1403</v>
      </c>
      <c r="P45">
        <v>0</v>
      </c>
      <c r="Q45" t="s">
        <v>1293</v>
      </c>
      <c r="R45" s="21"/>
    </row>
    <row r="46" spans="2:19">
      <c r="B46" s="92" t="s">
        <v>904</v>
      </c>
      <c r="C46" t="s">
        <v>905</v>
      </c>
      <c r="K46" s="21"/>
      <c r="O46" s="20" t="s">
        <v>1404</v>
      </c>
      <c r="P46">
        <v>7.0000000000000007E-2</v>
      </c>
      <c r="Q46" t="s">
        <v>1293</v>
      </c>
      <c r="R46" s="21"/>
    </row>
    <row r="47" spans="2:19">
      <c r="B47" s="32" t="s">
        <v>1405</v>
      </c>
      <c r="C47" s="33" t="s">
        <v>1406</v>
      </c>
      <c r="K47" s="21"/>
      <c r="O47" s="20" t="s">
        <v>1407</v>
      </c>
      <c r="P47">
        <v>0.01</v>
      </c>
      <c r="Q47" t="s">
        <v>1293</v>
      </c>
      <c r="R47" s="21"/>
    </row>
    <row r="48" spans="2:19">
      <c r="B48" s="32" t="s">
        <v>906</v>
      </c>
      <c r="C48" s="33" t="s">
        <v>907</v>
      </c>
      <c r="K48" s="21"/>
      <c r="O48" s="20" t="s">
        <v>1408</v>
      </c>
      <c r="P48">
        <v>0</v>
      </c>
      <c r="Q48" t="s">
        <v>1293</v>
      </c>
      <c r="R48" s="21"/>
    </row>
    <row r="49" spans="2:19" ht="15" thickBot="1">
      <c r="B49" s="58" t="s">
        <v>1409</v>
      </c>
      <c r="C49" s="36" t="s">
        <v>1410</v>
      </c>
      <c r="D49" s="36"/>
      <c r="E49" s="36"/>
      <c r="F49" s="36"/>
      <c r="G49" s="36"/>
      <c r="H49" s="36"/>
      <c r="I49" s="36"/>
      <c r="J49" s="36"/>
      <c r="K49" s="37"/>
      <c r="O49" s="20" t="s">
        <v>1411</v>
      </c>
      <c r="P49">
        <v>6.0000000000000001E-3</v>
      </c>
      <c r="Q49" t="s">
        <v>1293</v>
      </c>
      <c r="R49" s="21"/>
      <c r="S49" t="s">
        <v>982</v>
      </c>
    </row>
    <row r="50" spans="2:19">
      <c r="O50" s="20" t="s">
        <v>1412</v>
      </c>
      <c r="P50">
        <v>6.0000000000000001E-3</v>
      </c>
      <c r="Q50" t="s">
        <v>1293</v>
      </c>
      <c r="R50" s="21"/>
    </row>
    <row r="51" spans="2:19">
      <c r="O51" s="20" t="s">
        <v>1413</v>
      </c>
      <c r="P51">
        <v>0.01</v>
      </c>
      <c r="Q51" t="s">
        <v>1293</v>
      </c>
      <c r="R51" s="21"/>
    </row>
    <row r="52" spans="2:19" ht="15" thickBot="1">
      <c r="O52" s="58" t="s">
        <v>1414</v>
      </c>
      <c r="P52" s="36">
        <v>5.0000000000000001E-3</v>
      </c>
      <c r="Q52" t="s">
        <v>1293</v>
      </c>
      <c r="R52" s="37"/>
    </row>
    <row r="53" spans="2:19">
      <c r="B53" s="15" t="s">
        <v>908</v>
      </c>
      <c r="C53" s="16"/>
      <c r="D53" s="16"/>
      <c r="E53" s="16"/>
      <c r="F53" s="16"/>
      <c r="G53" s="16"/>
      <c r="H53" s="16"/>
      <c r="I53" s="16"/>
      <c r="J53" s="16"/>
      <c r="K53" s="16"/>
      <c r="L53" s="17"/>
    </row>
    <row r="54" spans="2:19">
      <c r="B54" s="20"/>
      <c r="L54" s="21"/>
    </row>
    <row r="55" spans="2:19">
      <c r="B55" s="80" t="s">
        <v>1415</v>
      </c>
      <c r="L55" s="21"/>
    </row>
    <row r="56" spans="2:19">
      <c r="B56" s="20"/>
      <c r="L56" s="21"/>
    </row>
    <row r="57" spans="2:19">
      <c r="B57" s="20" t="s">
        <v>910</v>
      </c>
      <c r="C57" t="s">
        <v>911</v>
      </c>
      <c r="L57" s="21"/>
      <c r="O57" s="1387"/>
      <c r="P57" s="1387"/>
      <c r="Q57" s="1387"/>
      <c r="R57" s="1387"/>
    </row>
    <row r="58" spans="2:19" ht="15" thickBot="1">
      <c r="B58" s="32" t="s">
        <v>880</v>
      </c>
      <c r="C58" s="33" t="s">
        <v>900</v>
      </c>
      <c r="D58" s="33"/>
      <c r="E58" s="33"/>
      <c r="F58" s="33"/>
      <c r="G58" s="33"/>
      <c r="H58" s="33"/>
      <c r="L58" s="21"/>
      <c r="O58" s="1"/>
      <c r="P58" s="1"/>
      <c r="Q58" s="1"/>
      <c r="R58" s="1"/>
    </row>
    <row r="59" spans="2:19" ht="15" thickBot="1">
      <c r="B59" s="85" t="s">
        <v>890</v>
      </c>
      <c r="C59" t="s">
        <v>912</v>
      </c>
      <c r="L59" s="21"/>
      <c r="O59" s="1393" t="s">
        <v>1416</v>
      </c>
      <c r="P59" s="1394"/>
      <c r="Q59" s="1394"/>
      <c r="R59" s="1395"/>
    </row>
    <row r="60" spans="2:19">
      <c r="B60" s="32" t="s">
        <v>902</v>
      </c>
      <c r="C60" s="33" t="s">
        <v>903</v>
      </c>
      <c r="D60" s="33"/>
      <c r="E60" s="33"/>
      <c r="F60" s="33"/>
      <c r="G60" s="33"/>
      <c r="H60" s="33"/>
      <c r="I60" s="33"/>
      <c r="J60" s="33"/>
      <c r="K60" s="33"/>
      <c r="L60" s="21"/>
      <c r="O60" s="80" t="s">
        <v>1395</v>
      </c>
      <c r="P60" s="1" t="s">
        <v>913</v>
      </c>
      <c r="Q60" s="1" t="s">
        <v>1232</v>
      </c>
      <c r="R60" s="88" t="s">
        <v>1233</v>
      </c>
      <c r="S60" t="s">
        <v>982</v>
      </c>
    </row>
    <row r="61" spans="2:19">
      <c r="B61" s="85" t="s">
        <v>913</v>
      </c>
      <c r="C61" t="s">
        <v>914</v>
      </c>
      <c r="L61" s="21"/>
      <c r="O61" s="20"/>
      <c r="R61" s="21"/>
      <c r="S61" t="s">
        <v>982</v>
      </c>
    </row>
    <row r="62" spans="2:19">
      <c r="B62" s="32" t="s">
        <v>1405</v>
      </c>
      <c r="C62" s="33" t="s">
        <v>1406</v>
      </c>
      <c r="L62" s="21"/>
      <c r="O62" s="20" t="s">
        <v>1417</v>
      </c>
      <c r="P62">
        <v>25</v>
      </c>
      <c r="Q62" t="s">
        <v>1293</v>
      </c>
      <c r="R62" s="21"/>
    </row>
    <row r="63" spans="2:19" ht="15" thickBot="1">
      <c r="B63" s="32" t="s">
        <v>906</v>
      </c>
      <c r="C63" s="33" t="s">
        <v>907</v>
      </c>
      <c r="L63" s="21"/>
      <c r="O63" s="58" t="s">
        <v>1418</v>
      </c>
      <c r="P63" s="36">
        <v>12</v>
      </c>
      <c r="Q63" s="36" t="s">
        <v>1293</v>
      </c>
      <c r="R63" s="37"/>
    </row>
    <row r="64" spans="2:19">
      <c r="B64" s="20"/>
      <c r="L64" s="21"/>
    </row>
    <row r="65" spans="2:19">
      <c r="B65" s="80" t="s">
        <v>915</v>
      </c>
      <c r="L65" s="21"/>
    </row>
    <row r="66" spans="2:19">
      <c r="B66" s="20"/>
      <c r="L66" s="21"/>
    </row>
    <row r="67" spans="2:19">
      <c r="B67" s="20" t="s">
        <v>916</v>
      </c>
      <c r="C67" t="s">
        <v>917</v>
      </c>
      <c r="L67" s="21"/>
    </row>
    <row r="68" spans="2:19">
      <c r="B68" s="85" t="s">
        <v>910</v>
      </c>
      <c r="C68" t="s">
        <v>911</v>
      </c>
      <c r="L68" s="21"/>
    </row>
    <row r="69" spans="2:19">
      <c r="B69" s="20" t="s">
        <v>704</v>
      </c>
      <c r="C69" t="s">
        <v>918</v>
      </c>
      <c r="K69" s="63" t="s">
        <v>1419</v>
      </c>
      <c r="L69" s="21"/>
    </row>
    <row r="70" spans="2:19" ht="15" thickBot="1">
      <c r="B70" s="58" t="s">
        <v>1409</v>
      </c>
      <c r="C70" s="36" t="s">
        <v>1410</v>
      </c>
      <c r="D70" s="36"/>
      <c r="E70" s="36"/>
      <c r="F70" s="36"/>
      <c r="G70" s="36"/>
      <c r="H70" s="36"/>
      <c r="I70" s="36"/>
      <c r="J70" s="36"/>
      <c r="K70" s="36"/>
      <c r="L70" s="37"/>
      <c r="S70" t="s">
        <v>982</v>
      </c>
    </row>
    <row r="71" spans="2:19">
      <c r="S71" t="s">
        <v>982</v>
      </c>
    </row>
    <row r="76" spans="2:19" ht="15" thickBot="1"/>
    <row r="77" spans="2:19" s="53" customFormat="1" ht="15" thickBot="1">
      <c r="B77" s="94"/>
    </row>
    <row r="79" spans="2:19" s="63" customFormat="1">
      <c r="B79" s="63" t="s">
        <v>1420</v>
      </c>
    </row>
    <row r="81" spans="2:23" ht="15" thickBot="1"/>
    <row r="82" spans="2:23" ht="15" thickBot="1">
      <c r="B82" s="15" t="s">
        <v>920</v>
      </c>
      <c r="C82" s="16"/>
      <c r="D82" s="16"/>
      <c r="E82" s="16"/>
      <c r="F82" s="16"/>
      <c r="G82" s="16"/>
      <c r="H82" s="16"/>
      <c r="I82" s="16"/>
      <c r="J82" s="16"/>
      <c r="K82" s="16"/>
      <c r="L82" s="17"/>
    </row>
    <row r="83" spans="2:23">
      <c r="B83" s="20"/>
      <c r="L83" s="21"/>
      <c r="O83" s="90" t="s">
        <v>1389</v>
      </c>
      <c r="P83" s="82" t="s">
        <v>1390</v>
      </c>
      <c r="Q83" s="82"/>
      <c r="R83" s="82"/>
      <c r="S83" s="84"/>
      <c r="T83" s="15"/>
      <c r="U83" s="16"/>
    </row>
    <row r="84" spans="2:23">
      <c r="B84" s="80" t="s">
        <v>889</v>
      </c>
      <c r="L84" s="21"/>
      <c r="O84" s="80" t="s">
        <v>1374</v>
      </c>
      <c r="P84" s="1" t="s">
        <v>1391</v>
      </c>
      <c r="Q84" s="1" t="s">
        <v>1392</v>
      </c>
      <c r="R84" s="1" t="s">
        <v>1378</v>
      </c>
      <c r="S84" s="88" t="s">
        <v>1232</v>
      </c>
      <c r="T84" s="80" t="s">
        <v>1391</v>
      </c>
      <c r="U84" s="1" t="s">
        <v>1392</v>
      </c>
    </row>
    <row r="85" spans="2:23">
      <c r="B85" s="20"/>
      <c r="L85" s="21"/>
      <c r="O85" s="20" t="s">
        <v>939</v>
      </c>
      <c r="P85">
        <v>0.74</v>
      </c>
      <c r="Q85">
        <v>0.74</v>
      </c>
      <c r="R85" s="46" t="s">
        <v>1393</v>
      </c>
      <c r="S85" s="21" t="s">
        <v>1293</v>
      </c>
      <c r="T85" s="20">
        <v>0.74</v>
      </c>
      <c r="U85">
        <v>0.74</v>
      </c>
    </row>
    <row r="86" spans="2:23" ht="15" thickBot="1">
      <c r="B86" s="20" t="s">
        <v>890</v>
      </c>
      <c r="C86" t="s">
        <v>891</v>
      </c>
      <c r="L86" s="21"/>
      <c r="O86" s="58" t="s">
        <v>919</v>
      </c>
      <c r="P86" s="36">
        <v>0.83</v>
      </c>
      <c r="Q86" s="36">
        <v>0.83</v>
      </c>
      <c r="R86" s="91" t="s">
        <v>1393</v>
      </c>
      <c r="S86" s="37" t="s">
        <v>1293</v>
      </c>
      <c r="T86" s="58">
        <v>0.83</v>
      </c>
      <c r="U86" s="36">
        <v>0.83</v>
      </c>
    </row>
    <row r="87" spans="2:23">
      <c r="B87" s="85" t="s">
        <v>892</v>
      </c>
      <c r="C87" t="s">
        <v>893</v>
      </c>
      <c r="L87" s="21"/>
    </row>
    <row r="88" spans="2:23" ht="15" thickBot="1">
      <c r="B88" s="86" t="s">
        <v>894</v>
      </c>
      <c r="C88" s="87" t="s">
        <v>895</v>
      </c>
      <c r="D88" s="87"/>
      <c r="E88" s="87"/>
      <c r="F88" s="87"/>
      <c r="G88" s="87"/>
      <c r="H88" s="87"/>
      <c r="I88" s="87"/>
      <c r="J88" s="36"/>
      <c r="K88" s="36"/>
      <c r="L88" s="37"/>
    </row>
    <row r="90" spans="2:23" ht="15" thickBot="1"/>
    <row r="91" spans="2:23">
      <c r="B91" s="15" t="s">
        <v>921</v>
      </c>
      <c r="C91" s="16"/>
      <c r="D91" s="16"/>
      <c r="E91" s="16"/>
      <c r="F91" s="16"/>
      <c r="G91" s="16"/>
      <c r="H91" s="16"/>
      <c r="I91" s="17"/>
    </row>
    <row r="92" spans="2:23">
      <c r="B92" s="20"/>
      <c r="I92" s="21"/>
    </row>
    <row r="93" spans="2:23" ht="15" thickBot="1">
      <c r="B93" s="80" t="s">
        <v>922</v>
      </c>
      <c r="I93" s="21"/>
    </row>
    <row r="94" spans="2:23">
      <c r="B94" s="20"/>
      <c r="I94" s="21"/>
      <c r="R94" s="90"/>
      <c r="S94" s="82"/>
      <c r="T94" s="82" t="s">
        <v>1421</v>
      </c>
      <c r="U94" s="82"/>
      <c r="V94" s="16"/>
      <c r="W94" s="17"/>
    </row>
    <row r="95" spans="2:23">
      <c r="B95" s="20" t="s">
        <v>923</v>
      </c>
      <c r="C95" t="s">
        <v>924</v>
      </c>
      <c r="I95" s="21"/>
      <c r="R95" s="80"/>
      <c r="S95" s="1"/>
      <c r="T95" s="1" t="s">
        <v>1422</v>
      </c>
      <c r="U95" s="1" t="s">
        <v>1423</v>
      </c>
      <c r="V95" s="1" t="s">
        <v>1424</v>
      </c>
      <c r="W95" s="88" t="s">
        <v>1232</v>
      </c>
    </row>
    <row r="96" spans="2:23">
      <c r="B96" s="32" t="s">
        <v>925</v>
      </c>
      <c r="C96" s="33" t="s">
        <v>926</v>
      </c>
      <c r="D96" s="33"/>
      <c r="E96" s="33"/>
      <c r="F96" s="33"/>
      <c r="I96" s="21"/>
      <c r="R96" s="20" t="s">
        <v>939</v>
      </c>
      <c r="S96" t="s">
        <v>1379</v>
      </c>
      <c r="T96">
        <v>6.8</v>
      </c>
      <c r="U96">
        <v>0.36</v>
      </c>
      <c r="V96">
        <v>7.0000000000000007E-2</v>
      </c>
      <c r="W96" s="21" t="s">
        <v>1293</v>
      </c>
    </row>
    <row r="97" spans="2:27" ht="15" thickBot="1">
      <c r="B97" s="32" t="s">
        <v>927</v>
      </c>
      <c r="C97" s="33" t="s">
        <v>928</v>
      </c>
      <c r="D97" s="33"/>
      <c r="I97" s="21"/>
      <c r="R97" s="58" t="s">
        <v>919</v>
      </c>
      <c r="S97" s="36" t="s">
        <v>1379</v>
      </c>
      <c r="T97" s="36">
        <v>2.7</v>
      </c>
      <c r="U97" s="36">
        <v>0.36</v>
      </c>
      <c r="V97" s="36">
        <v>0.02</v>
      </c>
      <c r="W97" s="37" t="s">
        <v>1293</v>
      </c>
    </row>
    <row r="98" spans="2:27" ht="15" thickBot="1">
      <c r="B98" s="86" t="s">
        <v>929</v>
      </c>
      <c r="C98" s="87" t="s">
        <v>930</v>
      </c>
      <c r="D98" s="87"/>
      <c r="E98" s="36"/>
      <c r="F98" s="36"/>
      <c r="G98" s="36"/>
      <c r="H98" s="36"/>
      <c r="I98" s="37"/>
    </row>
    <row r="100" spans="2:27" ht="15" thickBot="1"/>
    <row r="101" spans="2:27">
      <c r="B101" s="15" t="s">
        <v>931</v>
      </c>
      <c r="C101" s="16"/>
      <c r="D101" s="16"/>
      <c r="E101" s="16"/>
      <c r="F101" s="16"/>
      <c r="G101" s="16"/>
      <c r="H101" s="16"/>
      <c r="I101" s="16"/>
      <c r="J101" s="16"/>
      <c r="K101" s="16"/>
      <c r="L101" s="16"/>
      <c r="M101" s="16"/>
      <c r="N101" s="16"/>
      <c r="O101" s="17"/>
    </row>
    <row r="102" spans="2:27">
      <c r="B102" s="20"/>
      <c r="O102" s="21"/>
    </row>
    <row r="103" spans="2:27" ht="15" thickBot="1">
      <c r="B103" s="80" t="s">
        <v>1425</v>
      </c>
      <c r="O103" s="21"/>
    </row>
    <row r="104" spans="2:27">
      <c r="B104" s="20"/>
      <c r="O104" s="21"/>
      <c r="P104" s="1349" t="s">
        <v>1426</v>
      </c>
      <c r="Q104" s="1349"/>
      <c r="R104" s="1349"/>
      <c r="S104" s="1349"/>
      <c r="T104" s="1349"/>
      <c r="U104" s="1349"/>
      <c r="V104" s="1349"/>
      <c r="W104" s="1349"/>
      <c r="X104" s="1349"/>
      <c r="Y104" s="1349"/>
      <c r="Z104" s="1349"/>
      <c r="AA104" s="1376"/>
    </row>
    <row r="105" spans="2:27">
      <c r="B105" s="20" t="s">
        <v>933</v>
      </c>
      <c r="C105" t="s">
        <v>934</v>
      </c>
      <c r="O105" s="21"/>
      <c r="P105" s="1" t="s">
        <v>1395</v>
      </c>
      <c r="Q105" s="59" t="s">
        <v>1427</v>
      </c>
      <c r="R105" s="59"/>
      <c r="S105" s="59"/>
      <c r="T105" s="59"/>
      <c r="U105" s="59"/>
      <c r="V105" s="59"/>
      <c r="W105" s="59"/>
      <c r="X105" s="59"/>
      <c r="Y105" s="59"/>
      <c r="AA105" s="21"/>
    </row>
    <row r="106" spans="2:27">
      <c r="B106" s="20" t="s">
        <v>923</v>
      </c>
      <c r="C106" t="s">
        <v>1428</v>
      </c>
      <c r="O106" s="21"/>
      <c r="Q106" s="1" t="s">
        <v>1429</v>
      </c>
      <c r="R106" s="1">
        <v>11</v>
      </c>
      <c r="S106" s="1">
        <v>12</v>
      </c>
      <c r="T106" s="1">
        <v>13</v>
      </c>
      <c r="U106" s="1">
        <v>14</v>
      </c>
      <c r="V106" s="1">
        <v>19</v>
      </c>
      <c r="W106" s="1">
        <v>20</v>
      </c>
      <c r="X106" s="1">
        <v>21</v>
      </c>
      <c r="Y106" s="1">
        <v>22</v>
      </c>
      <c r="Z106" s="1">
        <v>27</v>
      </c>
      <c r="AA106" s="88" t="s">
        <v>1430</v>
      </c>
    </row>
    <row r="107" spans="2:27">
      <c r="B107" s="85" t="s">
        <v>1431</v>
      </c>
      <c r="C107" t="s">
        <v>1432</v>
      </c>
      <c r="O107" s="21"/>
      <c r="P107" t="s">
        <v>1433</v>
      </c>
      <c r="Q107" s="64">
        <v>1.4999999999999999E-2</v>
      </c>
      <c r="R107" s="64"/>
      <c r="S107" s="64"/>
      <c r="T107" s="64"/>
      <c r="U107" s="64"/>
      <c r="V107" s="64"/>
      <c r="W107" s="64"/>
      <c r="X107" s="64"/>
      <c r="Y107" s="64"/>
      <c r="Z107" s="64"/>
      <c r="AA107" s="96"/>
    </row>
    <row r="108" spans="2:27" ht="15" thickBot="1">
      <c r="B108" s="85" t="s">
        <v>1434</v>
      </c>
      <c r="C108" t="s">
        <v>1435</v>
      </c>
      <c r="O108" s="21"/>
      <c r="P108" s="36" t="s">
        <v>1436</v>
      </c>
      <c r="Q108" s="97">
        <v>1.4999999999999999E-2</v>
      </c>
      <c r="R108" s="97"/>
      <c r="S108" s="97"/>
      <c r="T108" s="97"/>
      <c r="U108" s="97"/>
      <c r="V108" s="97"/>
      <c r="W108" s="97"/>
      <c r="X108" s="97"/>
      <c r="Y108" s="97"/>
      <c r="Z108" s="97"/>
      <c r="AA108" s="98"/>
    </row>
    <row r="109" spans="2:27" ht="15" thickBot="1">
      <c r="B109" s="58">
        <v>0.66200000000000003</v>
      </c>
      <c r="C109" s="36" t="s">
        <v>1437</v>
      </c>
      <c r="D109" s="36"/>
      <c r="E109" s="36"/>
      <c r="F109" s="36"/>
      <c r="G109" s="36"/>
      <c r="H109" s="36"/>
      <c r="I109" s="36"/>
      <c r="J109" s="36"/>
      <c r="K109" s="36"/>
      <c r="L109" s="36"/>
      <c r="M109" s="36"/>
      <c r="N109" s="36"/>
      <c r="O109" s="37"/>
    </row>
    <row r="111" spans="2:27" ht="15" thickBot="1"/>
    <row r="112" spans="2:27">
      <c r="B112" s="15" t="s">
        <v>896</v>
      </c>
      <c r="C112" s="16"/>
      <c r="D112" s="16"/>
      <c r="E112" s="16"/>
      <c r="F112" s="16"/>
      <c r="G112" s="16"/>
      <c r="H112" s="16"/>
      <c r="I112" s="16"/>
      <c r="J112" s="16"/>
      <c r="K112" s="17"/>
      <c r="P112" s="1388" t="s">
        <v>1438</v>
      </c>
      <c r="Q112" s="1389"/>
      <c r="R112" s="1389"/>
      <c r="S112" s="1389"/>
      <c r="T112" s="1389"/>
      <c r="U112" s="1389"/>
    </row>
    <row r="113" spans="2:21">
      <c r="B113" s="20"/>
      <c r="K113" s="21"/>
      <c r="P113" s="80" t="s">
        <v>1395</v>
      </c>
      <c r="Q113" s="1" t="s">
        <v>1396</v>
      </c>
      <c r="R113" s="1" t="s">
        <v>1378</v>
      </c>
      <c r="S113" s="1" t="s">
        <v>1232</v>
      </c>
      <c r="T113" s="1" t="s">
        <v>1233</v>
      </c>
    </row>
    <row r="114" spans="2:21">
      <c r="B114" s="80" t="s">
        <v>897</v>
      </c>
      <c r="K114" s="21"/>
      <c r="P114" s="20"/>
    </row>
    <row r="115" spans="2:21">
      <c r="B115" s="20"/>
      <c r="K115" s="21"/>
      <c r="P115" s="20" t="s">
        <v>1397</v>
      </c>
      <c r="R115" t="s">
        <v>1150</v>
      </c>
      <c r="S115" t="s">
        <v>1293</v>
      </c>
      <c r="T115" t="s">
        <v>1398</v>
      </c>
    </row>
    <row r="116" spans="2:21">
      <c r="B116" s="20" t="s">
        <v>898</v>
      </c>
      <c r="C116" t="s">
        <v>899</v>
      </c>
      <c r="K116" s="21"/>
      <c r="P116" s="20" t="s">
        <v>354</v>
      </c>
      <c r="Q116">
        <v>1E-3</v>
      </c>
      <c r="R116" t="s">
        <v>1439</v>
      </c>
      <c r="S116" t="s">
        <v>1293</v>
      </c>
    </row>
    <row r="117" spans="2:21" ht="15" thickBot="1">
      <c r="B117" s="32" t="s">
        <v>880</v>
      </c>
      <c r="C117" s="33" t="s">
        <v>900</v>
      </c>
      <c r="D117" s="33"/>
      <c r="E117" s="33"/>
      <c r="F117" s="33"/>
      <c r="G117" s="33"/>
      <c r="K117" s="21"/>
      <c r="P117" s="58" t="s">
        <v>1440</v>
      </c>
      <c r="Q117" s="36">
        <v>1E-3</v>
      </c>
      <c r="R117" s="36" t="s">
        <v>1439</v>
      </c>
      <c r="S117" s="36" t="s">
        <v>1293</v>
      </c>
      <c r="T117" s="36"/>
      <c r="U117" s="36"/>
    </row>
    <row r="118" spans="2:21">
      <c r="B118" s="85" t="s">
        <v>890</v>
      </c>
      <c r="C118" t="s">
        <v>901</v>
      </c>
      <c r="K118" s="21"/>
    </row>
    <row r="119" spans="2:21">
      <c r="B119" s="32" t="s">
        <v>902</v>
      </c>
      <c r="C119" s="33" t="s">
        <v>903</v>
      </c>
      <c r="D119" s="33"/>
      <c r="E119" s="33"/>
      <c r="F119" s="33"/>
      <c r="G119" s="33"/>
      <c r="H119" s="33"/>
      <c r="I119" s="33"/>
      <c r="J119" s="33"/>
      <c r="K119" s="57"/>
    </row>
    <row r="120" spans="2:21">
      <c r="B120" s="85" t="s">
        <v>904</v>
      </c>
      <c r="C120" t="s">
        <v>905</v>
      </c>
      <c r="K120" s="21"/>
    </row>
    <row r="121" spans="2:21">
      <c r="B121" s="32" t="s">
        <v>1405</v>
      </c>
      <c r="C121" s="33" t="s">
        <v>1406</v>
      </c>
      <c r="D121" s="33"/>
      <c r="K121" s="21"/>
    </row>
    <row r="122" spans="2:21">
      <c r="B122" s="32" t="s">
        <v>906</v>
      </c>
      <c r="C122" s="33" t="s">
        <v>907</v>
      </c>
      <c r="D122" s="33"/>
      <c r="K122" s="21"/>
    </row>
    <row r="123" spans="2:21" ht="15" thickBot="1">
      <c r="B123" s="58" t="s">
        <v>1409</v>
      </c>
      <c r="C123" s="36" t="s">
        <v>1410</v>
      </c>
      <c r="D123" s="36"/>
      <c r="E123" s="36"/>
      <c r="F123" s="36"/>
      <c r="G123" s="36"/>
      <c r="H123" s="36"/>
      <c r="I123" s="36"/>
      <c r="J123" s="36"/>
      <c r="K123" s="37"/>
    </row>
    <row r="125" spans="2:21" ht="15" thickBot="1"/>
    <row r="126" spans="2:21">
      <c r="B126" s="15" t="s">
        <v>936</v>
      </c>
      <c r="C126" s="16"/>
      <c r="D126" s="16"/>
      <c r="E126" s="16"/>
      <c r="F126" s="16"/>
      <c r="G126" s="16"/>
      <c r="H126" s="16"/>
      <c r="I126" s="16"/>
      <c r="J126" s="16"/>
      <c r="K126" s="16"/>
      <c r="L126" s="17"/>
    </row>
    <row r="127" spans="2:21" ht="15" thickBot="1">
      <c r="B127" s="20"/>
      <c r="L127" s="21"/>
    </row>
    <row r="128" spans="2:21">
      <c r="B128" s="80" t="s">
        <v>909</v>
      </c>
      <c r="L128" s="21"/>
      <c r="Q128" s="1390" t="s">
        <v>1441</v>
      </c>
      <c r="R128" s="1391"/>
      <c r="S128" s="1391"/>
      <c r="T128" s="1391"/>
      <c r="U128" s="1392"/>
    </row>
    <row r="129" spans="2:21">
      <c r="B129" s="20"/>
      <c r="L129" s="21"/>
      <c r="Q129" s="80" t="s">
        <v>1374</v>
      </c>
      <c r="R129" s="1" t="s">
        <v>339</v>
      </c>
      <c r="S129" s="1" t="s">
        <v>913</v>
      </c>
      <c r="T129" s="1" t="s">
        <v>1378</v>
      </c>
      <c r="U129" s="88" t="s">
        <v>1232</v>
      </c>
    </row>
    <row r="130" spans="2:21">
      <c r="B130" s="20" t="s">
        <v>910</v>
      </c>
      <c r="C130" t="s">
        <v>911</v>
      </c>
      <c r="L130" s="21"/>
      <c r="Q130" s="99" t="s">
        <v>1442</v>
      </c>
      <c r="R130" t="s">
        <v>1440</v>
      </c>
      <c r="S130" s="75">
        <v>0.55000000000000004</v>
      </c>
      <c r="T130" s="46" t="s">
        <v>1443</v>
      </c>
      <c r="U130" s="21" t="s">
        <v>1293</v>
      </c>
    </row>
    <row r="131" spans="2:21" ht="15" thickBot="1">
      <c r="B131" s="32" t="s">
        <v>880</v>
      </c>
      <c r="C131" s="33" t="s">
        <v>900</v>
      </c>
      <c r="D131" s="33"/>
      <c r="E131" s="33"/>
      <c r="F131" s="33"/>
      <c r="G131" s="33"/>
      <c r="L131" s="21"/>
      <c r="Q131" s="100"/>
      <c r="R131" s="36" t="s">
        <v>354</v>
      </c>
      <c r="S131" s="101">
        <v>0.4</v>
      </c>
      <c r="T131" s="91" t="s">
        <v>1444</v>
      </c>
      <c r="U131" s="37" t="s">
        <v>1293</v>
      </c>
    </row>
    <row r="132" spans="2:21">
      <c r="B132" s="85" t="s">
        <v>890</v>
      </c>
      <c r="C132" t="s">
        <v>912</v>
      </c>
      <c r="L132" s="21"/>
    </row>
    <row r="133" spans="2:21">
      <c r="B133" s="32" t="s">
        <v>902</v>
      </c>
      <c r="C133" s="33" t="s">
        <v>903</v>
      </c>
      <c r="D133" s="33"/>
      <c r="E133" s="33"/>
      <c r="F133" s="33"/>
      <c r="G133" s="33"/>
      <c r="H133" s="33"/>
      <c r="L133" s="21"/>
    </row>
    <row r="134" spans="2:21">
      <c r="B134" s="85" t="s">
        <v>913</v>
      </c>
      <c r="C134" t="s">
        <v>937</v>
      </c>
      <c r="L134" s="21"/>
    </row>
    <row r="135" spans="2:21">
      <c r="B135" s="32" t="s">
        <v>1405</v>
      </c>
      <c r="C135" s="33" t="s">
        <v>1406</v>
      </c>
      <c r="L135" s="21"/>
    </row>
    <row r="136" spans="2:21">
      <c r="B136" s="32" t="s">
        <v>906</v>
      </c>
      <c r="C136" s="33" t="s">
        <v>907</v>
      </c>
      <c r="L136" s="21"/>
    </row>
    <row r="137" spans="2:21">
      <c r="B137" s="20"/>
      <c r="L137" s="21"/>
    </row>
    <row r="138" spans="2:21">
      <c r="B138" s="80" t="s">
        <v>915</v>
      </c>
      <c r="L138" s="21"/>
    </row>
    <row r="139" spans="2:21">
      <c r="B139" s="20"/>
      <c r="L139" s="21"/>
    </row>
    <row r="140" spans="2:21">
      <c r="B140" s="20" t="s">
        <v>916</v>
      </c>
      <c r="C140" t="s">
        <v>917</v>
      </c>
      <c r="L140" s="21"/>
    </row>
    <row r="141" spans="2:21">
      <c r="B141" s="85" t="s">
        <v>910</v>
      </c>
      <c r="C141" t="s">
        <v>911</v>
      </c>
      <c r="L141" s="21"/>
    </row>
    <row r="142" spans="2:21">
      <c r="B142" s="20" t="s">
        <v>704</v>
      </c>
      <c r="C142" t="s">
        <v>918</v>
      </c>
      <c r="K142" s="63" t="s">
        <v>1419</v>
      </c>
      <c r="L142" s="21"/>
    </row>
    <row r="143" spans="2:21" ht="15" thickBot="1">
      <c r="B143" s="58" t="s">
        <v>1409</v>
      </c>
      <c r="C143" s="36" t="s">
        <v>1410</v>
      </c>
      <c r="D143" s="36"/>
      <c r="E143" s="36"/>
      <c r="F143" s="36"/>
      <c r="G143" s="36"/>
      <c r="H143" s="36"/>
      <c r="I143" s="36"/>
      <c r="J143" s="36"/>
      <c r="K143" s="36"/>
      <c r="L143" s="37"/>
    </row>
    <row r="145" spans="2:14" ht="15" thickBot="1"/>
    <row r="146" spans="2:14">
      <c r="B146" s="102" t="s">
        <v>1445</v>
      </c>
      <c r="C146" s="103"/>
      <c r="D146" s="103"/>
      <c r="E146" s="103"/>
      <c r="F146" s="103"/>
      <c r="G146" s="103"/>
      <c r="H146" s="103"/>
      <c r="I146" s="103"/>
      <c r="J146" s="103"/>
      <c r="K146" s="103"/>
      <c r="L146" s="104"/>
    </row>
    <row r="147" spans="2:14">
      <c r="B147" s="105"/>
      <c r="C147" s="106"/>
      <c r="D147" s="106"/>
      <c r="E147" s="106"/>
      <c r="F147" s="106"/>
      <c r="G147" s="106"/>
      <c r="H147" s="106"/>
      <c r="I147" s="106"/>
      <c r="J147" s="106"/>
      <c r="K147" s="106"/>
      <c r="L147" s="107"/>
    </row>
    <row r="148" spans="2:14">
      <c r="B148" s="108" t="s">
        <v>1446</v>
      </c>
      <c r="C148" s="106"/>
      <c r="D148" s="106"/>
      <c r="E148" s="106"/>
      <c r="F148" s="106"/>
      <c r="G148" s="106"/>
      <c r="H148" s="106"/>
      <c r="I148" s="106"/>
      <c r="J148" s="106"/>
      <c r="K148" s="106"/>
      <c r="L148" s="107"/>
      <c r="N148" t="s">
        <v>1447</v>
      </c>
    </row>
    <row r="149" spans="2:14">
      <c r="B149" s="105"/>
      <c r="C149" s="106"/>
      <c r="D149" s="106"/>
      <c r="E149" s="106"/>
      <c r="F149" s="106"/>
      <c r="G149" s="106"/>
      <c r="H149" s="106"/>
      <c r="I149" s="106"/>
      <c r="J149" s="106"/>
      <c r="K149" s="106"/>
      <c r="L149" s="107"/>
    </row>
    <row r="150" spans="2:14">
      <c r="B150" s="105" t="s">
        <v>1448</v>
      </c>
      <c r="C150" s="106" t="s">
        <v>1449</v>
      </c>
      <c r="D150" s="106"/>
      <c r="E150" s="106"/>
      <c r="F150" s="106"/>
      <c r="G150" s="106"/>
      <c r="H150" s="106"/>
      <c r="I150" s="106"/>
      <c r="J150" s="106"/>
      <c r="K150" s="106"/>
      <c r="L150" s="107"/>
    </row>
    <row r="151" spans="2:14">
      <c r="B151" s="105" t="s">
        <v>880</v>
      </c>
      <c r="C151" s="106" t="s">
        <v>900</v>
      </c>
      <c r="D151" s="106"/>
      <c r="E151" s="106"/>
      <c r="F151" s="106"/>
      <c r="G151" s="106"/>
      <c r="H151" s="106"/>
      <c r="I151" s="106"/>
      <c r="J151" s="106"/>
      <c r="K151" s="106"/>
      <c r="L151" s="107"/>
    </row>
    <row r="152" spans="2:14">
      <c r="B152" s="105" t="s">
        <v>890</v>
      </c>
      <c r="C152" s="106" t="s">
        <v>912</v>
      </c>
      <c r="D152" s="106"/>
      <c r="E152" s="106"/>
      <c r="F152" s="106"/>
      <c r="G152" s="106"/>
      <c r="H152" s="106"/>
      <c r="I152" s="106"/>
      <c r="J152" s="106"/>
      <c r="K152" s="106"/>
      <c r="L152" s="107"/>
    </row>
    <row r="153" spans="2:14">
      <c r="B153" s="105" t="s">
        <v>902</v>
      </c>
      <c r="C153" s="106" t="s">
        <v>903</v>
      </c>
      <c r="D153" s="106"/>
      <c r="E153" s="106"/>
      <c r="F153" s="106"/>
      <c r="G153" s="106"/>
      <c r="H153" s="106"/>
      <c r="I153" s="106"/>
      <c r="J153" s="106"/>
      <c r="K153" s="106"/>
      <c r="L153" s="107"/>
    </row>
    <row r="154" spans="2:14">
      <c r="B154" s="105" t="s">
        <v>1450</v>
      </c>
      <c r="C154" s="106" t="s">
        <v>1451</v>
      </c>
      <c r="D154" s="106"/>
      <c r="E154" s="106"/>
      <c r="F154" s="106"/>
      <c r="G154" s="106"/>
      <c r="H154" s="106"/>
      <c r="I154" s="106"/>
      <c r="J154" s="106"/>
      <c r="K154" s="106"/>
      <c r="L154" s="107"/>
    </row>
    <row r="155" spans="2:14">
      <c r="B155" s="105" t="s">
        <v>1405</v>
      </c>
      <c r="C155" s="106" t="s">
        <v>1406</v>
      </c>
      <c r="D155" s="106"/>
      <c r="E155" s="106"/>
      <c r="F155" s="106"/>
      <c r="G155" s="106"/>
      <c r="H155" s="106"/>
      <c r="I155" s="106"/>
      <c r="J155" s="106"/>
      <c r="K155" s="106"/>
      <c r="L155" s="107"/>
    </row>
    <row r="156" spans="2:14">
      <c r="B156" s="105" t="s">
        <v>906</v>
      </c>
      <c r="C156" s="106" t="s">
        <v>907</v>
      </c>
      <c r="D156" s="106"/>
      <c r="E156" s="106"/>
      <c r="F156" s="106"/>
      <c r="G156" s="106"/>
      <c r="H156" s="106"/>
      <c r="I156" s="106"/>
      <c r="J156" s="106"/>
      <c r="K156" s="106"/>
      <c r="L156" s="107"/>
    </row>
    <row r="157" spans="2:14">
      <c r="B157" s="105"/>
      <c r="C157" s="106"/>
      <c r="D157" s="106"/>
      <c r="E157" s="106"/>
      <c r="F157" s="106"/>
      <c r="G157" s="106"/>
      <c r="H157" s="106"/>
      <c r="I157" s="106"/>
      <c r="J157" s="106"/>
      <c r="K157" s="106"/>
      <c r="L157" s="107"/>
    </row>
    <row r="158" spans="2:14">
      <c r="B158" s="108" t="s">
        <v>1452</v>
      </c>
      <c r="C158" s="106"/>
      <c r="D158" s="106"/>
      <c r="E158" s="106"/>
      <c r="F158" s="106"/>
      <c r="G158" s="106"/>
      <c r="H158" s="106"/>
      <c r="I158" s="106"/>
      <c r="J158" s="106"/>
      <c r="K158" s="106"/>
      <c r="L158" s="107"/>
    </row>
    <row r="159" spans="2:14">
      <c r="B159" s="105"/>
      <c r="C159" s="106"/>
      <c r="D159" s="106"/>
      <c r="E159" s="106"/>
      <c r="F159" s="106"/>
      <c r="G159" s="106"/>
      <c r="H159" s="106"/>
      <c r="I159" s="106"/>
      <c r="J159" s="106"/>
      <c r="K159" s="106"/>
      <c r="L159" s="107"/>
    </row>
    <row r="160" spans="2:14">
      <c r="B160" s="105" t="s">
        <v>916</v>
      </c>
      <c r="C160" s="106" t="s">
        <v>1453</v>
      </c>
      <c r="D160" s="106"/>
      <c r="E160" s="106"/>
      <c r="F160" s="106"/>
      <c r="G160" s="106"/>
      <c r="H160" s="106"/>
      <c r="I160" s="106"/>
      <c r="J160" s="106"/>
      <c r="K160" s="106"/>
      <c r="L160" s="107"/>
    </row>
    <row r="161" spans="1:22">
      <c r="B161" s="105" t="s">
        <v>910</v>
      </c>
      <c r="C161" s="106" t="s">
        <v>911</v>
      </c>
      <c r="D161" s="106"/>
      <c r="E161" s="106"/>
      <c r="F161" s="106"/>
      <c r="G161" s="106"/>
      <c r="H161" s="106"/>
      <c r="I161" s="106"/>
      <c r="J161" s="106"/>
      <c r="K161" s="106"/>
      <c r="L161" s="107"/>
    </row>
    <row r="162" spans="1:22">
      <c r="B162" s="105" t="s">
        <v>1454</v>
      </c>
      <c r="C162" s="106" t="s">
        <v>1455</v>
      </c>
      <c r="D162" s="106"/>
      <c r="E162" s="106"/>
      <c r="F162" s="106"/>
      <c r="G162" s="106"/>
      <c r="H162" s="106"/>
      <c r="I162" s="106"/>
      <c r="J162" s="106"/>
      <c r="K162" s="106" t="s">
        <v>1419</v>
      </c>
      <c r="L162" s="107"/>
    </row>
    <row r="163" spans="1:22" ht="15" thickBot="1">
      <c r="B163" s="109" t="s">
        <v>1409</v>
      </c>
      <c r="C163" s="110" t="s">
        <v>1410</v>
      </c>
      <c r="D163" s="110"/>
      <c r="E163" s="110"/>
      <c r="F163" s="110"/>
      <c r="G163" s="110"/>
      <c r="H163" s="110"/>
      <c r="I163" s="110"/>
      <c r="J163" s="110"/>
      <c r="K163" s="110"/>
      <c r="L163" s="111"/>
    </row>
    <row r="166" spans="1:22" s="63" customFormat="1">
      <c r="B166" s="95" t="s">
        <v>1456</v>
      </c>
    </row>
    <row r="168" spans="1:22" ht="15" thickBot="1"/>
    <row r="169" spans="1:22" ht="15" thickBot="1">
      <c r="A169" s="1340" t="s">
        <v>1457</v>
      </c>
      <c r="B169" s="1350"/>
      <c r="C169" s="1350"/>
      <c r="D169" s="1350"/>
      <c r="E169" s="1350"/>
      <c r="F169" s="1350"/>
      <c r="G169" s="1350"/>
      <c r="H169" s="1350"/>
      <c r="I169" s="1350"/>
      <c r="J169" s="1350"/>
      <c r="K169" s="1350"/>
      <c r="L169" s="1350"/>
      <c r="M169" s="1350"/>
      <c r="N169" s="1350"/>
      <c r="O169" s="1350"/>
      <c r="P169" s="1350"/>
      <c r="Q169" s="1350"/>
      <c r="R169" s="1351"/>
    </row>
    <row r="170" spans="1:22" ht="15" thickBot="1">
      <c r="A170" s="1340" t="s">
        <v>857</v>
      </c>
      <c r="B170" s="1350"/>
      <c r="C170" s="1350"/>
      <c r="D170" s="1350"/>
      <c r="E170" s="1350"/>
      <c r="F170" s="1350"/>
      <c r="G170" s="1350"/>
      <c r="H170" s="1351"/>
      <c r="I170" s="1340" t="s">
        <v>751</v>
      </c>
      <c r="J170" s="1350"/>
      <c r="K170" s="1350"/>
      <c r="L170" s="1350"/>
      <c r="M170" s="1350"/>
      <c r="N170" s="1350"/>
      <c r="O170" s="1350"/>
      <c r="P170" s="1350"/>
      <c r="Q170" s="1350"/>
      <c r="R170" s="1351"/>
      <c r="T170" s="1344" t="s">
        <v>1458</v>
      </c>
      <c r="U170" s="1349"/>
      <c r="V170" s="1376"/>
    </row>
    <row r="171" spans="1:22">
      <c r="A171" s="20"/>
      <c r="H171" s="21"/>
      <c r="I171" s="15"/>
      <c r="J171" s="16"/>
      <c r="K171" s="16"/>
      <c r="L171" s="16"/>
      <c r="M171" s="16"/>
      <c r="N171" s="16"/>
      <c r="O171" s="16"/>
      <c r="P171" s="16"/>
      <c r="Q171" s="16"/>
      <c r="R171" s="17"/>
      <c r="T171" s="20"/>
      <c r="V171" s="21"/>
    </row>
    <row r="172" spans="1:22">
      <c r="A172" s="20" t="s">
        <v>728</v>
      </c>
      <c r="H172" s="21"/>
      <c r="I172" s="20"/>
      <c r="J172" t="s">
        <v>754</v>
      </c>
      <c r="R172" s="21"/>
      <c r="T172" s="20"/>
      <c r="U172" s="1" t="s">
        <v>1459</v>
      </c>
      <c r="V172" s="1" t="s">
        <v>1460</v>
      </c>
    </row>
    <row r="173" spans="1:22">
      <c r="A173" s="20"/>
      <c r="H173" s="21"/>
      <c r="I173" s="20"/>
      <c r="R173" s="21"/>
      <c r="T173" s="20" t="s">
        <v>1461</v>
      </c>
      <c r="U173">
        <v>25.6</v>
      </c>
      <c r="V173">
        <v>29.6</v>
      </c>
    </row>
    <row r="174" spans="1:22">
      <c r="A174" s="20" t="s">
        <v>729</v>
      </c>
      <c r="H174" s="21"/>
      <c r="I174" s="20"/>
      <c r="J174" t="s">
        <v>742</v>
      </c>
      <c r="K174" t="s">
        <v>867</v>
      </c>
      <c r="R174" s="21"/>
      <c r="T174" s="20" t="s">
        <v>1462</v>
      </c>
      <c r="U174">
        <v>21.2</v>
      </c>
    </row>
    <row r="175" spans="1:22">
      <c r="A175" s="20"/>
      <c r="H175" s="21"/>
      <c r="I175" s="20"/>
      <c r="J175" s="33" t="s">
        <v>446</v>
      </c>
      <c r="K175" s="33" t="s">
        <v>1463</v>
      </c>
      <c r="R175" s="21"/>
      <c r="T175" s="20" t="s">
        <v>1464</v>
      </c>
      <c r="U175">
        <v>28.5</v>
      </c>
    </row>
    <row r="176" spans="1:22">
      <c r="A176" s="20" t="s">
        <v>731</v>
      </c>
      <c r="B176" t="s">
        <v>858</v>
      </c>
      <c r="H176" s="21"/>
      <c r="I176" s="20"/>
      <c r="J176" s="112" t="s">
        <v>756</v>
      </c>
      <c r="K176" t="s">
        <v>1465</v>
      </c>
      <c r="R176" s="21"/>
      <c r="T176" s="20" t="s">
        <v>1466</v>
      </c>
      <c r="U176">
        <v>25</v>
      </c>
    </row>
    <row r="177" spans="1:22">
      <c r="A177" s="32" t="s">
        <v>734</v>
      </c>
      <c r="B177" s="33" t="s">
        <v>859</v>
      </c>
      <c r="C177" s="33"/>
      <c r="D177" s="33"/>
      <c r="E177" s="33"/>
      <c r="H177" s="21"/>
      <c r="I177" s="20"/>
      <c r="R177" s="21"/>
      <c r="T177" s="20" t="s">
        <v>270</v>
      </c>
      <c r="U177">
        <v>26</v>
      </c>
    </row>
    <row r="178" spans="1:22" ht="15" thickBot="1">
      <c r="A178" s="32" t="s">
        <v>737</v>
      </c>
      <c r="B178" s="33" t="s">
        <v>860</v>
      </c>
      <c r="C178" s="33"/>
      <c r="D178" s="33"/>
      <c r="E178" s="33"/>
      <c r="H178" s="21"/>
      <c r="I178" s="58"/>
      <c r="J178" s="36"/>
      <c r="K178" s="36"/>
      <c r="L178" s="36"/>
      <c r="M178" s="36"/>
      <c r="N178" s="36"/>
      <c r="O178" s="36"/>
      <c r="P178" s="36"/>
      <c r="Q178" s="36"/>
      <c r="R178" s="37"/>
      <c r="T178" s="58" t="s">
        <v>269</v>
      </c>
      <c r="U178" s="36">
        <v>26</v>
      </c>
      <c r="V178" s="36"/>
    </row>
    <row r="179" spans="1:22" ht="15" thickBot="1">
      <c r="A179" s="20"/>
      <c r="H179" s="21"/>
    </row>
    <row r="180" spans="1:22">
      <c r="A180" s="20" t="s">
        <v>827</v>
      </c>
      <c r="H180" s="21"/>
      <c r="T180" s="15" t="s">
        <v>1467</v>
      </c>
      <c r="U180" s="16"/>
      <c r="V180" s="17"/>
    </row>
    <row r="181" spans="1:22">
      <c r="A181" s="20"/>
      <c r="H181" s="21"/>
      <c r="T181" s="20"/>
      <c r="V181" s="21"/>
    </row>
    <row r="182" spans="1:22">
      <c r="A182" s="20" t="s">
        <v>828</v>
      </c>
      <c r="H182" s="21"/>
      <c r="T182" s="20" t="s">
        <v>1468</v>
      </c>
      <c r="U182" t="s">
        <v>1469</v>
      </c>
      <c r="V182" s="21"/>
    </row>
    <row r="183" spans="1:22" ht="15" thickBot="1">
      <c r="A183" s="20"/>
      <c r="H183" s="113"/>
      <c r="I183" s="31"/>
      <c r="J183" s="31"/>
      <c r="K183" s="31"/>
      <c r="L183" s="31"/>
      <c r="M183" s="31"/>
      <c r="N183" s="31"/>
      <c r="T183" s="20" t="s">
        <v>187</v>
      </c>
      <c r="U183" s="1377">
        <v>76.8</v>
      </c>
      <c r="V183" s="1378"/>
    </row>
    <row r="184" spans="1:22">
      <c r="A184" s="20" t="s">
        <v>829</v>
      </c>
      <c r="B184" t="s">
        <v>1470</v>
      </c>
      <c r="H184" s="114"/>
      <c r="I184" s="31"/>
      <c r="J184" s="31"/>
      <c r="K184" s="1343" t="s">
        <v>811</v>
      </c>
      <c r="L184" s="1381"/>
      <c r="M184" s="1381"/>
      <c r="N184" s="1381"/>
      <c r="O184" s="1381"/>
      <c r="P184" s="1382"/>
      <c r="T184" s="20" t="s">
        <v>188</v>
      </c>
      <c r="U184" s="1377">
        <v>92.1</v>
      </c>
      <c r="V184" s="1378"/>
    </row>
    <row r="185" spans="1:22">
      <c r="A185" s="32" t="s">
        <v>831</v>
      </c>
      <c r="B185" s="33" t="s">
        <v>1471</v>
      </c>
      <c r="C185" s="33"/>
      <c r="D185" s="33"/>
      <c r="H185" s="114"/>
      <c r="I185" s="31"/>
      <c r="J185" s="31"/>
      <c r="K185" s="115"/>
      <c r="L185" s="31"/>
      <c r="M185" s="31"/>
      <c r="N185" s="31"/>
      <c r="P185" s="21"/>
      <c r="T185" s="20" t="s">
        <v>189</v>
      </c>
      <c r="U185" s="1377">
        <v>107.5</v>
      </c>
      <c r="V185" s="1378"/>
    </row>
    <row r="186" spans="1:22" ht="15" thickBot="1">
      <c r="A186" s="32" t="s">
        <v>833</v>
      </c>
      <c r="B186" s="33" t="s">
        <v>1472</v>
      </c>
      <c r="C186" s="33"/>
      <c r="D186" s="33"/>
      <c r="H186" s="114"/>
      <c r="I186" s="31"/>
      <c r="J186" s="31"/>
      <c r="K186" s="86" t="s">
        <v>813</v>
      </c>
      <c r="L186" s="116"/>
      <c r="M186" s="116"/>
      <c r="N186" s="87"/>
      <c r="O186" s="87"/>
      <c r="P186" s="37"/>
      <c r="T186" s="20" t="s">
        <v>190</v>
      </c>
      <c r="U186" s="1377">
        <v>122.9</v>
      </c>
      <c r="V186" s="1378"/>
    </row>
    <row r="187" spans="1:22">
      <c r="A187" s="20"/>
      <c r="H187" s="114"/>
      <c r="I187" s="31"/>
      <c r="J187" s="31"/>
      <c r="K187" s="31"/>
      <c r="L187" s="117"/>
      <c r="M187" s="117"/>
      <c r="N187" s="31"/>
      <c r="T187" s="20" t="s">
        <v>191</v>
      </c>
      <c r="U187" s="1377">
        <v>138.19999999999999</v>
      </c>
      <c r="V187" s="1378"/>
    </row>
    <row r="188" spans="1:22">
      <c r="A188" s="20" t="s">
        <v>835</v>
      </c>
      <c r="H188" s="114"/>
      <c r="I188" s="31"/>
      <c r="J188" s="31"/>
      <c r="K188" s="31"/>
      <c r="L188" s="117"/>
      <c r="M188" s="117"/>
      <c r="N188" s="31"/>
      <c r="T188" s="20" t="s">
        <v>192</v>
      </c>
      <c r="U188" s="1377">
        <v>153.6</v>
      </c>
      <c r="V188" s="1378"/>
    </row>
    <row r="189" spans="1:22">
      <c r="A189" s="20"/>
      <c r="H189" s="114"/>
      <c r="I189" s="31"/>
      <c r="J189" s="31"/>
      <c r="K189" s="31"/>
      <c r="L189" s="31"/>
      <c r="M189" s="31"/>
      <c r="N189" s="31"/>
      <c r="T189" s="20" t="s">
        <v>1473</v>
      </c>
      <c r="U189" s="1377">
        <v>72.400000000000006</v>
      </c>
      <c r="V189" s="1378"/>
    </row>
    <row r="190" spans="1:22">
      <c r="A190" s="20" t="s">
        <v>836</v>
      </c>
      <c r="H190" s="118"/>
      <c r="I190" s="31"/>
      <c r="J190" s="31"/>
      <c r="K190" s="31"/>
      <c r="L190" s="31"/>
      <c r="M190" s="31"/>
      <c r="N190" s="31"/>
      <c r="T190" s="20" t="s">
        <v>195</v>
      </c>
      <c r="U190" s="1377">
        <v>34.200000000000003</v>
      </c>
      <c r="V190" s="1378"/>
    </row>
    <row r="191" spans="1:22">
      <c r="A191" s="20"/>
      <c r="H191" s="21"/>
      <c r="M191" s="119"/>
      <c r="T191" s="20" t="s">
        <v>196</v>
      </c>
      <c r="U191" s="1377">
        <v>27.8</v>
      </c>
      <c r="V191" s="1378"/>
    </row>
    <row r="192" spans="1:22">
      <c r="A192" s="20" t="s">
        <v>837</v>
      </c>
      <c r="B192" t="s">
        <v>861</v>
      </c>
      <c r="H192" s="21"/>
      <c r="T192" s="20" t="s">
        <v>197</v>
      </c>
      <c r="U192" s="1377">
        <v>58.1</v>
      </c>
      <c r="V192" s="1378"/>
    </row>
    <row r="193" spans="1:22">
      <c r="A193" s="85" t="s">
        <v>839</v>
      </c>
      <c r="B193" t="s">
        <v>862</v>
      </c>
      <c r="F193" s="120"/>
      <c r="H193" s="21"/>
      <c r="M193" s="119"/>
      <c r="T193" s="20" t="s">
        <v>198</v>
      </c>
      <c r="U193" s="1377">
        <v>53.69</v>
      </c>
      <c r="V193" s="1378"/>
    </row>
    <row r="194" spans="1:22">
      <c r="A194" s="32" t="s">
        <v>748</v>
      </c>
      <c r="B194" s="33" t="s">
        <v>863</v>
      </c>
      <c r="C194" s="33"/>
      <c r="D194" s="33"/>
      <c r="H194" s="21"/>
      <c r="T194" s="20" t="s">
        <v>269</v>
      </c>
      <c r="U194" s="1377">
        <v>10.56</v>
      </c>
      <c r="V194" s="1378"/>
    </row>
    <row r="195" spans="1:22">
      <c r="A195" s="20"/>
      <c r="H195" s="21"/>
      <c r="T195" s="20" t="s">
        <v>270</v>
      </c>
      <c r="U195" s="1377">
        <v>4.4800000000000004</v>
      </c>
      <c r="V195" s="1378"/>
    </row>
    <row r="196" spans="1:22">
      <c r="A196" s="20" t="s">
        <v>842</v>
      </c>
      <c r="H196" s="21"/>
      <c r="T196" s="20" t="s">
        <v>1474</v>
      </c>
      <c r="U196" s="1377">
        <v>25.1</v>
      </c>
      <c r="V196" s="1378"/>
    </row>
    <row r="197" spans="1:22">
      <c r="A197" s="20"/>
      <c r="H197" s="21"/>
      <c r="T197" s="20" t="s">
        <v>1475</v>
      </c>
      <c r="U197" s="1377">
        <v>16.07</v>
      </c>
      <c r="V197" s="1378"/>
    </row>
    <row r="198" spans="1:22">
      <c r="A198" s="20" t="s">
        <v>843</v>
      </c>
      <c r="H198" s="21"/>
      <c r="T198" s="20" t="s">
        <v>643</v>
      </c>
      <c r="U198" s="1377">
        <v>0.69</v>
      </c>
      <c r="V198" s="1378"/>
    </row>
    <row r="199" spans="1:22">
      <c r="A199" s="20"/>
      <c r="H199" s="21"/>
      <c r="T199" s="20" t="s">
        <v>315</v>
      </c>
      <c r="U199" s="1377">
        <v>0.49</v>
      </c>
      <c r="V199" s="1378"/>
    </row>
    <row r="200" spans="1:22" ht="15" thickBot="1">
      <c r="A200" s="20" t="s">
        <v>844</v>
      </c>
      <c r="B200" t="s">
        <v>864</v>
      </c>
      <c r="H200" s="21"/>
      <c r="T200" s="58" t="s">
        <v>286</v>
      </c>
      <c r="U200" s="1379">
        <v>0.26</v>
      </c>
      <c r="V200" s="1380"/>
    </row>
    <row r="201" spans="1:22">
      <c r="A201" s="85" t="s">
        <v>846</v>
      </c>
      <c r="B201" t="s">
        <v>865</v>
      </c>
      <c r="H201" s="21"/>
    </row>
    <row r="202" spans="1:22">
      <c r="A202" s="32" t="s">
        <v>848</v>
      </c>
      <c r="B202" s="33" t="s">
        <v>1476</v>
      </c>
      <c r="C202" s="33"/>
      <c r="D202" s="33"/>
      <c r="H202" s="21"/>
    </row>
    <row r="203" spans="1:22">
      <c r="A203" s="20"/>
      <c r="H203" s="21"/>
    </row>
    <row r="204" spans="1:22">
      <c r="A204" s="20" t="s">
        <v>850</v>
      </c>
      <c r="H204" s="21"/>
    </row>
    <row r="205" spans="1:22">
      <c r="A205" s="20"/>
      <c r="H205" s="21"/>
    </row>
    <row r="206" spans="1:22">
      <c r="A206" s="20" t="s">
        <v>851</v>
      </c>
      <c r="H206" s="21"/>
    </row>
    <row r="207" spans="1:22">
      <c r="A207" s="20"/>
      <c r="H207" s="21"/>
    </row>
    <row r="208" spans="1:22">
      <c r="A208" s="20" t="s">
        <v>742</v>
      </c>
      <c r="B208" t="s">
        <v>867</v>
      </c>
      <c r="H208" s="21"/>
    </row>
    <row r="209" spans="1:26">
      <c r="A209" s="20"/>
      <c r="H209" s="21"/>
    </row>
    <row r="210" spans="1:26">
      <c r="A210" s="20" t="s">
        <v>740</v>
      </c>
      <c r="H210" s="21"/>
    </row>
    <row r="211" spans="1:26">
      <c r="A211" s="20"/>
      <c r="H211" s="21"/>
    </row>
    <row r="212" spans="1:26">
      <c r="A212" s="20" t="s">
        <v>741</v>
      </c>
      <c r="H212" s="21"/>
    </row>
    <row r="213" spans="1:26">
      <c r="A213" s="20"/>
      <c r="H213" s="21"/>
    </row>
    <row r="214" spans="1:26">
      <c r="A214" s="20" t="s">
        <v>742</v>
      </c>
      <c r="B214" t="s">
        <v>867</v>
      </c>
      <c r="H214" s="21"/>
    </row>
    <row r="215" spans="1:26">
      <c r="A215" s="85" t="s">
        <v>731</v>
      </c>
      <c r="B215" t="s">
        <v>858</v>
      </c>
      <c r="H215" s="21"/>
    </row>
    <row r="216" spans="1:26">
      <c r="A216" s="32" t="s">
        <v>744</v>
      </c>
      <c r="B216" s="33" t="s">
        <v>1477</v>
      </c>
      <c r="C216" s="33"/>
      <c r="H216" s="21"/>
    </row>
    <row r="217" spans="1:26">
      <c r="A217" s="20">
        <v>1.8100000000000002E-2</v>
      </c>
      <c r="B217" t="s">
        <v>1478</v>
      </c>
      <c r="H217" s="21"/>
    </row>
    <row r="218" spans="1:26">
      <c r="A218" s="32" t="s">
        <v>748</v>
      </c>
      <c r="B218" s="33" t="s">
        <v>1479</v>
      </c>
      <c r="C218" s="33"/>
      <c r="D218" s="33"/>
    </row>
    <row r="219" spans="1:26" ht="15" thickBot="1">
      <c r="A219" s="58">
        <v>2.8799999999999999E-2</v>
      </c>
      <c r="B219" s="36" t="s">
        <v>1480</v>
      </c>
      <c r="C219" s="36"/>
      <c r="D219" s="36"/>
      <c r="E219" s="36"/>
      <c r="F219" s="36"/>
      <c r="G219" s="36"/>
      <c r="H219" s="36"/>
    </row>
    <row r="220" spans="1:26" ht="15" thickBot="1"/>
    <row r="221" spans="1:26" ht="15" thickBot="1">
      <c r="A221" s="1340" t="s">
        <v>759</v>
      </c>
      <c r="B221" s="1350"/>
      <c r="C221" s="1350"/>
      <c r="D221" s="1350"/>
      <c r="E221" s="1350"/>
      <c r="F221" s="1350"/>
      <c r="G221" s="1350"/>
      <c r="H221" s="1350"/>
      <c r="I221" s="1351"/>
      <c r="K221" s="90" t="s">
        <v>1481</v>
      </c>
      <c r="L221" s="82"/>
      <c r="M221" s="82"/>
      <c r="N221" s="84"/>
      <c r="T221" s="1344" t="s">
        <v>1482</v>
      </c>
      <c r="U221" s="1349"/>
      <c r="V221" s="1376"/>
      <c r="X221" s="90" t="s">
        <v>1483</v>
      </c>
      <c r="Y221" s="82"/>
      <c r="Z221" s="84"/>
    </row>
    <row r="222" spans="1:26">
      <c r="A222" s="20"/>
      <c r="I222" s="21"/>
      <c r="K222" s="80"/>
      <c r="L222" s="1" t="s">
        <v>1484</v>
      </c>
      <c r="M222" s="1"/>
      <c r="N222" s="88" t="s">
        <v>1485</v>
      </c>
      <c r="T222" s="80" t="s">
        <v>1486</v>
      </c>
      <c r="U222" s="59" t="s">
        <v>1484</v>
      </c>
      <c r="V222" s="121" t="s">
        <v>1485</v>
      </c>
      <c r="X222" s="80" t="s">
        <v>1487</v>
      </c>
      <c r="Y222" s="59" t="s">
        <v>1484</v>
      </c>
      <c r="Z222" s="88" t="s">
        <v>1485</v>
      </c>
    </row>
    <row r="223" spans="1:26" ht="58">
      <c r="A223" s="20" t="s">
        <v>760</v>
      </c>
      <c r="I223" s="21"/>
      <c r="K223" s="1184" t="s">
        <v>1488</v>
      </c>
      <c r="L223" t="s">
        <v>1489</v>
      </c>
      <c r="N223" s="21">
        <v>5</v>
      </c>
      <c r="T223" s="1371" t="s">
        <v>269</v>
      </c>
      <c r="U223" s="332" t="s">
        <v>1490</v>
      </c>
      <c r="V223" s="21">
        <v>30</v>
      </c>
      <c r="X223" s="1184" t="s">
        <v>643</v>
      </c>
      <c r="Y223" t="s">
        <v>1491</v>
      </c>
      <c r="Z223" s="21">
        <v>45</v>
      </c>
    </row>
    <row r="224" spans="1:26" ht="101.5">
      <c r="A224" s="20"/>
      <c r="I224" s="21"/>
      <c r="K224" s="1184"/>
      <c r="L224" t="s">
        <v>1492</v>
      </c>
      <c r="N224" s="21">
        <v>4.5</v>
      </c>
      <c r="T224" s="1371"/>
      <c r="U224" s="332" t="s">
        <v>1493</v>
      </c>
      <c r="V224" s="21">
        <v>15</v>
      </c>
      <c r="X224" s="1184"/>
      <c r="Y224" t="s">
        <v>288</v>
      </c>
      <c r="Z224" s="21">
        <v>10</v>
      </c>
    </row>
    <row r="225" spans="1:26" ht="43.5">
      <c r="A225" s="20" t="s">
        <v>761</v>
      </c>
      <c r="I225" s="21"/>
      <c r="K225" s="1184"/>
      <c r="L225" t="s">
        <v>1494</v>
      </c>
      <c r="N225" s="21">
        <v>4</v>
      </c>
      <c r="T225" s="1371"/>
      <c r="U225" s="332" t="s">
        <v>1495</v>
      </c>
      <c r="V225" s="21">
        <v>15</v>
      </c>
      <c r="X225" s="1184"/>
      <c r="Y225" s="332" t="s">
        <v>1496</v>
      </c>
      <c r="Z225" s="21">
        <v>4.3</v>
      </c>
    </row>
    <row r="226" spans="1:26" ht="43.5">
      <c r="A226" s="20"/>
      <c r="I226" s="21"/>
      <c r="K226" s="1184"/>
      <c r="L226" t="s">
        <v>1497</v>
      </c>
      <c r="N226" s="21">
        <v>3.5</v>
      </c>
      <c r="T226" s="1371"/>
      <c r="U226" s="332" t="s">
        <v>1498</v>
      </c>
      <c r="V226" s="21">
        <v>13</v>
      </c>
      <c r="X226" s="1184"/>
      <c r="Y226" s="332" t="s">
        <v>1499</v>
      </c>
      <c r="Z226" s="21">
        <v>2.5</v>
      </c>
    </row>
    <row r="227" spans="1:26" ht="43.5">
      <c r="A227" s="32" t="s">
        <v>762</v>
      </c>
      <c r="B227" s="33" t="s">
        <v>763</v>
      </c>
      <c r="C227" s="33"/>
      <c r="I227" s="21"/>
      <c r="K227" s="1184"/>
      <c r="L227" t="s">
        <v>1500</v>
      </c>
      <c r="N227" s="21">
        <v>8</v>
      </c>
      <c r="T227" s="1371"/>
      <c r="U227" s="332" t="s">
        <v>1501</v>
      </c>
      <c r="V227" s="21">
        <v>15</v>
      </c>
      <c r="X227" s="1184"/>
      <c r="Y227" s="332" t="s">
        <v>1502</v>
      </c>
      <c r="Z227" s="21">
        <v>4.3</v>
      </c>
    </row>
    <row r="228" spans="1:26" ht="72.5">
      <c r="A228" s="32" t="s">
        <v>764</v>
      </c>
      <c r="B228" s="33" t="s">
        <v>765</v>
      </c>
      <c r="C228" s="33"/>
      <c r="I228" s="21"/>
      <c r="K228" s="1184"/>
      <c r="L228" t="s">
        <v>1503</v>
      </c>
      <c r="N228" s="21">
        <v>7.5</v>
      </c>
      <c r="T228" s="1371"/>
      <c r="U228" s="332" t="s">
        <v>1504</v>
      </c>
      <c r="V228" s="21">
        <v>14</v>
      </c>
      <c r="X228" s="1184"/>
      <c r="Y228" s="332" t="s">
        <v>1505</v>
      </c>
      <c r="Z228" s="21">
        <v>5.5</v>
      </c>
    </row>
    <row r="229" spans="1:26" ht="72.5">
      <c r="A229" s="32" t="s">
        <v>766</v>
      </c>
      <c r="B229" s="33" t="s">
        <v>767</v>
      </c>
      <c r="C229" s="33"/>
      <c r="I229" s="21"/>
      <c r="K229" s="1184"/>
      <c r="L229" t="s">
        <v>208</v>
      </c>
      <c r="N229" s="21">
        <v>10</v>
      </c>
      <c r="T229" s="1371"/>
      <c r="U229" s="332" t="s">
        <v>1506</v>
      </c>
      <c r="V229" s="21">
        <v>14</v>
      </c>
      <c r="X229" s="1184"/>
      <c r="Y229" t="s">
        <v>289</v>
      </c>
      <c r="Z229" s="21">
        <v>39</v>
      </c>
    </row>
    <row r="230" spans="1:26" ht="72.5">
      <c r="A230" s="20"/>
      <c r="I230" s="21"/>
      <c r="K230" s="1184"/>
      <c r="L230" t="s">
        <v>1507</v>
      </c>
      <c r="N230" s="21">
        <v>7.5</v>
      </c>
      <c r="T230" s="1371"/>
      <c r="U230" s="332" t="s">
        <v>1508</v>
      </c>
      <c r="V230" s="21">
        <v>13</v>
      </c>
      <c r="X230" s="1184"/>
      <c r="Y230" t="s">
        <v>1509</v>
      </c>
      <c r="Z230" s="21">
        <v>15</v>
      </c>
    </row>
    <row r="231" spans="1:26" ht="72.5">
      <c r="A231" s="20" t="s">
        <v>768</v>
      </c>
      <c r="I231" s="21"/>
      <c r="K231" s="1371" t="s">
        <v>1462</v>
      </c>
      <c r="L231" t="s">
        <v>1507</v>
      </c>
      <c r="N231" s="21">
        <v>5</v>
      </c>
      <c r="T231" s="1371"/>
      <c r="U231" s="332" t="s">
        <v>1510</v>
      </c>
      <c r="V231" s="21">
        <v>15</v>
      </c>
      <c r="X231" s="1184"/>
      <c r="Y231" t="s">
        <v>1511</v>
      </c>
      <c r="Z231" s="21">
        <v>13.5</v>
      </c>
    </row>
    <row r="232" spans="1:26" ht="73" thickBot="1">
      <c r="A232" s="20"/>
      <c r="I232" s="21"/>
      <c r="K232" s="1375"/>
      <c r="L232" s="36" t="s">
        <v>1512</v>
      </c>
      <c r="M232" s="36"/>
      <c r="N232" s="37">
        <v>7.5</v>
      </c>
      <c r="T232" s="1371"/>
      <c r="U232" s="332" t="s">
        <v>273</v>
      </c>
      <c r="V232" s="21">
        <v>10</v>
      </c>
      <c r="X232" s="1184"/>
      <c r="Y232" t="s">
        <v>1513</v>
      </c>
      <c r="Z232" s="21">
        <v>11</v>
      </c>
    </row>
    <row r="233" spans="1:26" ht="72.5">
      <c r="A233" s="20" t="s">
        <v>769</v>
      </c>
      <c r="I233" s="21"/>
      <c r="T233" s="1371"/>
      <c r="U233" s="332" t="s">
        <v>1514</v>
      </c>
      <c r="V233" s="21">
        <v>9</v>
      </c>
      <c r="X233" s="1371" t="s">
        <v>315</v>
      </c>
      <c r="Y233" t="s">
        <v>289</v>
      </c>
      <c r="Z233" s="21">
        <v>16</v>
      </c>
    </row>
    <row r="234" spans="1:26" ht="43.5">
      <c r="A234" s="20"/>
      <c r="I234" s="21"/>
      <c r="T234" s="1371"/>
      <c r="U234" s="332" t="s">
        <v>1515</v>
      </c>
      <c r="V234" s="21">
        <v>12</v>
      </c>
      <c r="X234" s="1371"/>
      <c r="Y234" t="s">
        <v>1509</v>
      </c>
      <c r="Z234" s="21">
        <v>2.8</v>
      </c>
    </row>
    <row r="235" spans="1:26" ht="58.5" thickBot="1">
      <c r="A235" s="20" t="s">
        <v>770</v>
      </c>
      <c r="B235" t="s">
        <v>1516</v>
      </c>
      <c r="I235" s="21"/>
      <c r="T235" s="1371" t="s">
        <v>270</v>
      </c>
      <c r="U235" s="332" t="s">
        <v>1490</v>
      </c>
      <c r="V235" s="21">
        <v>30</v>
      </c>
      <c r="X235" s="1371" t="s">
        <v>286</v>
      </c>
      <c r="Y235" t="s">
        <v>289</v>
      </c>
      <c r="Z235" s="21">
        <v>28</v>
      </c>
    </row>
    <row r="236" spans="1:26" ht="43.5">
      <c r="A236" s="20" t="s">
        <v>742</v>
      </c>
      <c r="B236" t="s">
        <v>867</v>
      </c>
      <c r="I236" s="21"/>
      <c r="K236" s="1372" t="s">
        <v>1517</v>
      </c>
      <c r="L236" s="1373"/>
      <c r="M236" s="1373"/>
      <c r="N236" s="1373"/>
      <c r="O236" s="1373"/>
      <c r="P236" s="1374"/>
      <c r="T236" s="1371"/>
      <c r="U236" s="332" t="s">
        <v>1518</v>
      </c>
      <c r="V236" s="21">
        <v>15</v>
      </c>
      <c r="X236" s="1371"/>
      <c r="Y236" t="s">
        <v>1509</v>
      </c>
      <c r="Z236" s="21">
        <v>5</v>
      </c>
    </row>
    <row r="237" spans="1:26" ht="44" thickBot="1">
      <c r="A237" s="20" t="s">
        <v>868</v>
      </c>
      <c r="B237" t="s">
        <v>1519</v>
      </c>
      <c r="G237" s="122" t="s">
        <v>1520</v>
      </c>
      <c r="I237" s="21"/>
      <c r="K237" s="80" t="s">
        <v>1521</v>
      </c>
      <c r="L237" s="1" t="s">
        <v>1522</v>
      </c>
      <c r="P237" s="21"/>
      <c r="T237" s="1371"/>
      <c r="U237" s="332" t="s">
        <v>1495</v>
      </c>
      <c r="V237" s="21">
        <v>15</v>
      </c>
      <c r="X237" s="1375"/>
      <c r="Y237" s="36" t="s">
        <v>1523</v>
      </c>
      <c r="Z237" s="37">
        <v>10</v>
      </c>
    </row>
    <row r="238" spans="1:26" ht="101.5">
      <c r="A238" s="85" t="s">
        <v>762</v>
      </c>
      <c r="B238" t="s">
        <v>763</v>
      </c>
      <c r="G238" s="112" t="s">
        <v>1524</v>
      </c>
      <c r="I238" s="21"/>
      <c r="K238" s="20" t="s">
        <v>1525</v>
      </c>
      <c r="L238">
        <v>128</v>
      </c>
      <c r="P238" s="21"/>
      <c r="T238" s="1371"/>
      <c r="U238" s="332" t="s">
        <v>1493</v>
      </c>
      <c r="V238" s="21">
        <v>15</v>
      </c>
    </row>
    <row r="239" spans="1:26" ht="43.5">
      <c r="A239" s="20"/>
      <c r="G239" s="112" t="s">
        <v>1526</v>
      </c>
      <c r="I239" s="21"/>
      <c r="K239" s="20" t="s">
        <v>194</v>
      </c>
      <c r="L239">
        <v>53</v>
      </c>
      <c r="P239" s="21"/>
      <c r="T239" s="1371"/>
      <c r="U239" s="332" t="s">
        <v>1501</v>
      </c>
      <c r="V239" s="21">
        <v>15</v>
      </c>
    </row>
    <row r="240" spans="1:26" ht="58.5" thickBot="1">
      <c r="A240" s="20" t="s">
        <v>778</v>
      </c>
      <c r="I240" s="21"/>
      <c r="K240" s="58" t="s">
        <v>856</v>
      </c>
      <c r="L240" s="36">
        <v>1.5</v>
      </c>
      <c r="M240" s="36"/>
      <c r="N240" s="36"/>
      <c r="O240" s="36"/>
      <c r="P240" s="37"/>
      <c r="T240" s="1371"/>
      <c r="U240" s="332" t="s">
        <v>274</v>
      </c>
      <c r="V240" s="21">
        <v>14</v>
      </c>
    </row>
    <row r="241" spans="1:22" ht="72.5">
      <c r="A241" s="20"/>
      <c r="I241" s="21"/>
      <c r="T241" s="1371"/>
      <c r="U241" s="332" t="s">
        <v>1508</v>
      </c>
      <c r="V241" s="21">
        <v>13</v>
      </c>
    </row>
    <row r="242" spans="1:22" ht="72.5">
      <c r="A242" s="20" t="s">
        <v>779</v>
      </c>
      <c r="I242" s="21"/>
      <c r="T242" s="1371"/>
      <c r="U242" s="332" t="s">
        <v>1527</v>
      </c>
      <c r="V242" s="21">
        <v>10</v>
      </c>
    </row>
    <row r="243" spans="1:22" ht="72.5">
      <c r="A243" s="20"/>
      <c r="I243" s="21"/>
      <c r="T243" s="1371"/>
      <c r="U243" s="332" t="s">
        <v>1528</v>
      </c>
      <c r="V243" s="21">
        <v>6</v>
      </c>
    </row>
    <row r="244" spans="1:22" ht="72.5">
      <c r="A244" s="20" t="s">
        <v>780</v>
      </c>
      <c r="B244" t="s">
        <v>1529</v>
      </c>
      <c r="I244" s="21"/>
      <c r="T244" s="1371"/>
      <c r="U244" s="332" t="s">
        <v>1530</v>
      </c>
      <c r="V244" s="21">
        <v>5</v>
      </c>
    </row>
    <row r="245" spans="1:22" ht="43.5">
      <c r="A245" s="85" t="s">
        <v>446</v>
      </c>
      <c r="B245" t="s">
        <v>782</v>
      </c>
      <c r="I245" s="21"/>
      <c r="T245" s="1371"/>
      <c r="U245" s="332" t="s">
        <v>1515</v>
      </c>
      <c r="V245" s="21">
        <v>12</v>
      </c>
    </row>
    <row r="246" spans="1:22" ht="58">
      <c r="A246" s="85" t="s">
        <v>783</v>
      </c>
      <c r="B246" t="s">
        <v>784</v>
      </c>
      <c r="I246" s="21"/>
      <c r="T246" s="1184" t="s">
        <v>271</v>
      </c>
      <c r="U246" s="332" t="s">
        <v>1531</v>
      </c>
      <c r="V246" s="21">
        <v>20</v>
      </c>
    </row>
    <row r="247" spans="1:22" ht="73" thickBot="1">
      <c r="A247" s="58" t="s">
        <v>762</v>
      </c>
      <c r="B247" s="36" t="s">
        <v>763</v>
      </c>
      <c r="C247" s="36"/>
      <c r="D247" s="36"/>
      <c r="E247" s="36"/>
      <c r="F247" s="36"/>
      <c r="G247" s="36"/>
      <c r="H247" s="36"/>
      <c r="I247" s="37"/>
      <c r="T247" s="1184"/>
      <c r="U247" s="332" t="s">
        <v>1532</v>
      </c>
      <c r="V247" s="21">
        <v>13</v>
      </c>
    </row>
    <row r="248" spans="1:22" ht="87.5" thickBot="1">
      <c r="T248" s="1184"/>
      <c r="U248" s="332" t="s">
        <v>1533</v>
      </c>
      <c r="V248" s="21">
        <v>10</v>
      </c>
    </row>
    <row r="249" spans="1:22" ht="58.5" thickBot="1">
      <c r="A249" s="1340" t="s">
        <v>786</v>
      </c>
      <c r="B249" s="1350"/>
      <c r="C249" s="1350"/>
      <c r="D249" s="1350"/>
      <c r="E249" s="1350"/>
      <c r="F249" s="1350"/>
      <c r="G249" s="1350"/>
      <c r="H249" s="1350"/>
      <c r="I249" s="1351"/>
      <c r="K249" s="90" t="s">
        <v>1534</v>
      </c>
      <c r="L249" s="82"/>
      <c r="M249" s="82"/>
      <c r="N249" s="84"/>
      <c r="T249" s="1184"/>
      <c r="U249" s="332" t="s">
        <v>1535</v>
      </c>
      <c r="V249" s="21">
        <v>15</v>
      </c>
    </row>
    <row r="250" spans="1:22" ht="87">
      <c r="A250" s="20"/>
      <c r="I250" s="21"/>
      <c r="K250" s="80" t="s">
        <v>1536</v>
      </c>
      <c r="L250" s="1" t="s">
        <v>1537</v>
      </c>
      <c r="M250" s="1"/>
      <c r="N250" s="88"/>
      <c r="T250" s="1184"/>
      <c r="U250" s="332" t="s">
        <v>275</v>
      </c>
      <c r="V250" s="21">
        <v>14</v>
      </c>
    </row>
    <row r="251" spans="1:22" ht="43.5">
      <c r="A251" s="123" t="s">
        <v>787</v>
      </c>
      <c r="I251" s="21"/>
      <c r="K251" s="20" t="s">
        <v>1538</v>
      </c>
      <c r="L251">
        <v>30</v>
      </c>
      <c r="N251" s="21"/>
      <c r="T251" s="1184"/>
      <c r="U251" s="332" t="s">
        <v>1539</v>
      </c>
      <c r="V251" s="21">
        <v>13</v>
      </c>
    </row>
    <row r="252" spans="1:22" ht="43.5">
      <c r="A252" s="20"/>
      <c r="I252" s="21"/>
      <c r="K252" s="20" t="s">
        <v>205</v>
      </c>
      <c r="L252">
        <v>20</v>
      </c>
      <c r="N252" s="21"/>
      <c r="T252" s="1184"/>
      <c r="U252" s="332" t="s">
        <v>1540</v>
      </c>
      <c r="V252" s="21">
        <v>12</v>
      </c>
    </row>
    <row r="253" spans="1:22" ht="43.5">
      <c r="A253" s="20" t="s">
        <v>788</v>
      </c>
      <c r="I253" s="21"/>
      <c r="K253" s="20" t="s">
        <v>327</v>
      </c>
      <c r="L253">
        <v>40</v>
      </c>
      <c r="N253" s="21"/>
      <c r="T253" s="1184"/>
      <c r="U253" s="332" t="s">
        <v>1541</v>
      </c>
      <c r="V253" s="21">
        <v>14</v>
      </c>
    </row>
    <row r="254" spans="1:22" ht="87">
      <c r="A254" s="20"/>
      <c r="I254" s="21"/>
      <c r="K254" s="20" t="s">
        <v>1542</v>
      </c>
      <c r="L254">
        <v>20</v>
      </c>
      <c r="N254" s="21"/>
      <c r="T254" s="1184"/>
      <c r="U254" s="332" t="s">
        <v>1543</v>
      </c>
      <c r="V254" s="21">
        <v>10</v>
      </c>
    </row>
    <row r="255" spans="1:22" ht="72.5">
      <c r="A255" s="20" t="s">
        <v>789</v>
      </c>
      <c r="B255" t="s">
        <v>1544</v>
      </c>
      <c r="I255" s="21"/>
      <c r="K255" s="20" t="s">
        <v>1545</v>
      </c>
      <c r="L255">
        <v>20</v>
      </c>
      <c r="N255" s="21"/>
      <c r="T255" s="1184"/>
      <c r="U255" s="332" t="s">
        <v>1506</v>
      </c>
      <c r="V255" s="21">
        <v>14</v>
      </c>
    </row>
    <row r="256" spans="1:22" ht="72.5">
      <c r="A256" s="20" t="s">
        <v>742</v>
      </c>
      <c r="B256" t="s">
        <v>867</v>
      </c>
      <c r="I256" s="21"/>
      <c r="K256" s="20" t="s">
        <v>1546</v>
      </c>
      <c r="L256">
        <v>10</v>
      </c>
      <c r="N256" s="21"/>
      <c r="T256" s="1184"/>
      <c r="U256" s="332" t="s">
        <v>1547</v>
      </c>
      <c r="V256" s="21">
        <v>14</v>
      </c>
    </row>
    <row r="257" spans="1:22" ht="73" thickBot="1">
      <c r="A257" s="85" t="s">
        <v>762</v>
      </c>
      <c r="B257" t="s">
        <v>763</v>
      </c>
      <c r="I257" s="21"/>
      <c r="K257" s="58" t="s">
        <v>1548</v>
      </c>
      <c r="L257" s="36">
        <v>2</v>
      </c>
      <c r="M257" s="36"/>
      <c r="N257" s="37"/>
      <c r="T257" s="1184"/>
      <c r="U257" s="332" t="s">
        <v>1508</v>
      </c>
      <c r="V257" s="21">
        <v>13</v>
      </c>
    </row>
    <row r="258" spans="1:22" ht="73" thickBot="1">
      <c r="A258" s="85" t="s">
        <v>770</v>
      </c>
      <c r="B258" t="s">
        <v>1516</v>
      </c>
      <c r="I258" s="21"/>
      <c r="T258" s="1184"/>
      <c r="U258" s="332" t="s">
        <v>1549</v>
      </c>
      <c r="V258" s="21">
        <v>15</v>
      </c>
    </row>
    <row r="259" spans="1:22" ht="43.5">
      <c r="A259" s="20">
        <v>1.214</v>
      </c>
      <c r="B259" t="s">
        <v>1550</v>
      </c>
      <c r="I259" s="21"/>
      <c r="K259" s="1344" t="s">
        <v>1551</v>
      </c>
      <c r="L259" s="1349"/>
      <c r="M259" s="1349"/>
      <c r="N259" s="1376"/>
      <c r="T259" s="1184"/>
      <c r="U259" s="332" t="s">
        <v>1515</v>
      </c>
      <c r="V259" s="21">
        <v>12</v>
      </c>
    </row>
    <row r="260" spans="1:22" ht="44" thickBot="1">
      <c r="A260" s="85" t="s">
        <v>792</v>
      </c>
      <c r="B260" t="s">
        <v>1552</v>
      </c>
      <c r="I260" s="21"/>
      <c r="K260" s="80" t="s">
        <v>1553</v>
      </c>
      <c r="L260" s="1"/>
      <c r="M260" s="59" t="s">
        <v>1554</v>
      </c>
      <c r="N260" s="88"/>
      <c r="T260" s="1187"/>
      <c r="U260" s="341" t="s">
        <v>1501</v>
      </c>
      <c r="V260" s="37">
        <v>17</v>
      </c>
    </row>
    <row r="261" spans="1:22">
      <c r="A261" s="20"/>
      <c r="I261" s="21"/>
      <c r="K261" s="1371" t="s">
        <v>1525</v>
      </c>
      <c r="L261" t="s">
        <v>202</v>
      </c>
      <c r="M261">
        <v>21</v>
      </c>
      <c r="N261" s="21"/>
    </row>
    <row r="262" spans="1:22">
      <c r="A262" s="20" t="s">
        <v>794</v>
      </c>
      <c r="I262" s="21"/>
      <c r="K262" s="1371"/>
      <c r="L262" t="s">
        <v>280</v>
      </c>
      <c r="M262">
        <v>3</v>
      </c>
      <c r="N262" s="21"/>
    </row>
    <row r="263" spans="1:22">
      <c r="A263" s="20"/>
      <c r="I263" s="21"/>
      <c r="K263" s="1371"/>
      <c r="L263" t="s">
        <v>1559</v>
      </c>
      <c r="M263">
        <v>3</v>
      </c>
      <c r="N263" s="21"/>
    </row>
    <row r="264" spans="1:22">
      <c r="A264" s="20" t="s">
        <v>795</v>
      </c>
      <c r="I264" s="21"/>
      <c r="K264" s="1371" t="s">
        <v>194</v>
      </c>
      <c r="L264" t="s">
        <v>202</v>
      </c>
      <c r="M264">
        <v>6</v>
      </c>
      <c r="N264" s="21"/>
    </row>
    <row r="265" spans="1:22">
      <c r="A265" s="20"/>
      <c r="I265" s="21"/>
      <c r="K265" s="1371"/>
      <c r="L265" t="s">
        <v>280</v>
      </c>
      <c r="M265">
        <v>1.1000000000000001</v>
      </c>
      <c r="N265" s="21"/>
    </row>
    <row r="266" spans="1:22">
      <c r="A266" s="20" t="s">
        <v>798</v>
      </c>
      <c r="B266" t="s">
        <v>1555</v>
      </c>
      <c r="I266" s="21"/>
      <c r="K266" s="1371"/>
      <c r="L266" t="s">
        <v>1559</v>
      </c>
      <c r="M266">
        <v>1.1000000000000001</v>
      </c>
      <c r="N266" s="21"/>
    </row>
    <row r="267" spans="1:22">
      <c r="A267" s="85" t="s">
        <v>446</v>
      </c>
      <c r="B267" t="s">
        <v>782</v>
      </c>
      <c r="I267" s="21"/>
      <c r="K267" s="1371" t="s">
        <v>856</v>
      </c>
      <c r="L267" t="s">
        <v>202</v>
      </c>
      <c r="M267">
        <v>5.5</v>
      </c>
      <c r="N267" s="21"/>
    </row>
    <row r="268" spans="1:22">
      <c r="A268" s="85" t="s">
        <v>801</v>
      </c>
      <c r="B268" t="s">
        <v>784</v>
      </c>
      <c r="I268" s="21"/>
      <c r="K268" s="1371"/>
      <c r="L268" t="s">
        <v>280</v>
      </c>
      <c r="M268">
        <v>0.6</v>
      </c>
      <c r="N268" s="21"/>
    </row>
    <row r="269" spans="1:22">
      <c r="A269" s="85" t="s">
        <v>762</v>
      </c>
      <c r="B269" t="s">
        <v>763</v>
      </c>
      <c r="I269" s="21"/>
      <c r="K269" s="1371"/>
      <c r="L269" t="s">
        <v>1559</v>
      </c>
      <c r="M269">
        <v>0.6</v>
      </c>
      <c r="N269" s="21"/>
    </row>
    <row r="270" spans="1:22" ht="15" thickBot="1">
      <c r="A270" s="20"/>
      <c r="I270" s="21"/>
      <c r="K270" s="124" t="s">
        <v>1556</v>
      </c>
      <c r="L270" s="36" t="s">
        <v>280</v>
      </c>
      <c r="M270" s="36">
        <v>7.8E-2</v>
      </c>
      <c r="N270" s="37"/>
    </row>
    <row r="271" spans="1:22">
      <c r="A271" s="20" t="s">
        <v>802</v>
      </c>
      <c r="I271" s="21"/>
    </row>
    <row r="272" spans="1:22" ht="15" thickBot="1">
      <c r="A272" s="20"/>
      <c r="I272" s="21"/>
    </row>
    <row r="273" spans="1:14">
      <c r="A273" s="20" t="s">
        <v>803</v>
      </c>
      <c r="I273" s="21"/>
      <c r="K273" s="90" t="s">
        <v>1557</v>
      </c>
      <c r="L273" s="82"/>
      <c r="M273" s="16"/>
      <c r="N273" s="17"/>
    </row>
    <row r="274" spans="1:14">
      <c r="A274" s="20"/>
      <c r="I274" s="21"/>
      <c r="K274" s="80" t="s">
        <v>1558</v>
      </c>
      <c r="L274" s="1" t="s">
        <v>1537</v>
      </c>
      <c r="N274" s="21"/>
    </row>
    <row r="275" spans="1:14">
      <c r="A275" s="20" t="s">
        <v>804</v>
      </c>
      <c r="B275" t="s">
        <v>1560</v>
      </c>
      <c r="I275" s="21"/>
      <c r="K275" s="20" t="s">
        <v>202</v>
      </c>
      <c r="L275">
        <v>0.1</v>
      </c>
      <c r="N275" s="21"/>
    </row>
    <row r="276" spans="1:14">
      <c r="A276" s="20" t="s">
        <v>742</v>
      </c>
      <c r="B276" t="s">
        <v>867</v>
      </c>
      <c r="I276" s="21"/>
      <c r="K276" s="20" t="s">
        <v>280</v>
      </c>
      <c r="L276">
        <v>2</v>
      </c>
      <c r="N276" s="21"/>
    </row>
    <row r="277" spans="1:14">
      <c r="A277" s="85" t="s">
        <v>762</v>
      </c>
      <c r="B277" t="s">
        <v>763</v>
      </c>
      <c r="I277" s="21"/>
      <c r="K277" s="20" t="s">
        <v>1559</v>
      </c>
      <c r="L277">
        <v>1</v>
      </c>
      <c r="N277" s="21"/>
    </row>
    <row r="278" spans="1:14" ht="15" thickBot="1">
      <c r="A278" s="125" t="s">
        <v>792</v>
      </c>
      <c r="B278" s="36" t="s">
        <v>1562</v>
      </c>
      <c r="C278" s="36"/>
      <c r="D278" s="36"/>
      <c r="E278" s="36"/>
      <c r="F278" s="36"/>
      <c r="G278" s="36"/>
      <c r="H278" s="36"/>
      <c r="I278" s="37"/>
      <c r="K278" s="58" t="s">
        <v>1561</v>
      </c>
      <c r="L278" s="36">
        <v>0.1</v>
      </c>
      <c r="M278" s="36"/>
      <c r="N278" s="37"/>
    </row>
    <row r="280" spans="1:14" ht="15" thickBot="1"/>
    <row r="281" spans="1:14">
      <c r="A281" s="15" t="s">
        <v>1563</v>
      </c>
      <c r="B281" s="16"/>
      <c r="C281" s="16"/>
      <c r="D281" s="16"/>
      <c r="E281" s="16"/>
      <c r="F281" s="16"/>
      <c r="G281" s="16"/>
      <c r="H281" s="16"/>
      <c r="I281" s="17"/>
    </row>
    <row r="282" spans="1:14">
      <c r="A282" s="20"/>
      <c r="I282" s="21"/>
    </row>
    <row r="283" spans="1:14">
      <c r="A283" s="20" t="s">
        <v>818</v>
      </c>
      <c r="I283" s="21"/>
    </row>
    <row r="284" spans="1:14">
      <c r="A284" s="20"/>
      <c r="I284" s="21"/>
    </row>
    <row r="285" spans="1:14">
      <c r="A285" s="85" t="s">
        <v>770</v>
      </c>
      <c r="B285" t="s">
        <v>1516</v>
      </c>
      <c r="I285" s="21"/>
    </row>
    <row r="286" spans="1:14">
      <c r="A286" s="20" t="s">
        <v>1564</v>
      </c>
      <c r="B286" t="s">
        <v>1565</v>
      </c>
      <c r="I286" s="21"/>
    </row>
    <row r="287" spans="1:14">
      <c r="A287" s="20">
        <v>0.01</v>
      </c>
      <c r="B287" t="s">
        <v>1566</v>
      </c>
      <c r="I287" s="21"/>
    </row>
    <row r="288" spans="1:14" ht="15" thickBot="1">
      <c r="A288" s="58" t="s">
        <v>1409</v>
      </c>
      <c r="B288" s="36" t="s">
        <v>1567</v>
      </c>
      <c r="C288" s="36"/>
      <c r="D288" s="36"/>
      <c r="E288" s="36"/>
      <c r="F288" s="36"/>
      <c r="G288" s="36"/>
      <c r="H288" s="36"/>
      <c r="I288" s="37"/>
    </row>
    <row r="289" spans="1:29" ht="15" thickBot="1"/>
    <row r="290" spans="1:29">
      <c r="A290" s="15" t="s">
        <v>1568</v>
      </c>
      <c r="B290" s="16"/>
      <c r="C290" s="16"/>
      <c r="D290" s="16"/>
      <c r="E290" s="16"/>
      <c r="F290" s="16"/>
      <c r="G290" s="16"/>
      <c r="H290" s="16"/>
      <c r="I290" s="17"/>
    </row>
    <row r="291" spans="1:29">
      <c r="A291" s="20"/>
      <c r="I291" s="21"/>
    </row>
    <row r="292" spans="1:29">
      <c r="A292" s="20" t="s">
        <v>820</v>
      </c>
      <c r="I292" s="21"/>
    </row>
    <row r="293" spans="1:29">
      <c r="A293" s="20"/>
      <c r="I293" s="21"/>
    </row>
    <row r="294" spans="1:29">
      <c r="A294" s="85" t="s">
        <v>789</v>
      </c>
      <c r="B294" t="s">
        <v>1544</v>
      </c>
      <c r="I294" s="21"/>
    </row>
    <row r="295" spans="1:29">
      <c r="A295" s="20" t="s">
        <v>1564</v>
      </c>
      <c r="B295" t="s">
        <v>1565</v>
      </c>
      <c r="I295" s="21"/>
    </row>
    <row r="296" spans="1:29">
      <c r="A296" s="20">
        <v>0.01</v>
      </c>
      <c r="B296" t="s">
        <v>1566</v>
      </c>
      <c r="I296" s="21"/>
    </row>
    <row r="297" spans="1:29" ht="15" thickBot="1">
      <c r="A297" s="58" t="s">
        <v>1409</v>
      </c>
      <c r="B297" s="36" t="s">
        <v>1567</v>
      </c>
      <c r="C297" s="36"/>
      <c r="D297" s="36"/>
      <c r="E297" s="36"/>
      <c r="F297" s="36"/>
      <c r="G297" s="36"/>
      <c r="H297" s="36"/>
      <c r="I297" s="37"/>
    </row>
    <row r="301" spans="1:29">
      <c r="A301" t="s">
        <v>1569</v>
      </c>
      <c r="B301" t="s">
        <v>284</v>
      </c>
      <c r="C301" t="s">
        <v>250</v>
      </c>
      <c r="D301" t="s">
        <v>253</v>
      </c>
      <c r="E301" t="s">
        <v>283</v>
      </c>
      <c r="F301" t="s">
        <v>282</v>
      </c>
      <c r="G301" t="s">
        <v>1570</v>
      </c>
      <c r="H301" t="s">
        <v>1571</v>
      </c>
      <c r="I301" t="s">
        <v>1572</v>
      </c>
      <c r="J301" t="s">
        <v>247</v>
      </c>
      <c r="K301" t="s">
        <v>1573</v>
      </c>
      <c r="L301" t="s">
        <v>1574</v>
      </c>
      <c r="M301" t="s">
        <v>134</v>
      </c>
      <c r="N301" t="s">
        <v>1575</v>
      </c>
      <c r="O301" t="s">
        <v>1576</v>
      </c>
      <c r="P301" t="s">
        <v>1577</v>
      </c>
      <c r="Q301" t="s">
        <v>2492</v>
      </c>
      <c r="R301" t="s">
        <v>2493</v>
      </c>
      <c r="S301" t="s">
        <v>2494</v>
      </c>
      <c r="T301" t="s">
        <v>496</v>
      </c>
      <c r="U301" t="s">
        <v>1117</v>
      </c>
      <c r="V301" t="s">
        <v>2495</v>
      </c>
      <c r="W301" t="s">
        <v>2496</v>
      </c>
      <c r="X301" t="s">
        <v>2497</v>
      </c>
      <c r="Y301" t="s">
        <v>1122</v>
      </c>
      <c r="Z301" t="s">
        <v>1147</v>
      </c>
      <c r="AA301" t="s">
        <v>644</v>
      </c>
      <c r="AB301" t="s">
        <v>1579</v>
      </c>
      <c r="AC301" t="s">
        <v>1580</v>
      </c>
    </row>
    <row r="302" spans="1:29">
      <c r="A302" t="s">
        <v>251</v>
      </c>
      <c r="B302">
        <v>0.128080312</v>
      </c>
      <c r="C302">
        <v>0</v>
      </c>
      <c r="D302">
        <v>0.75061237199999997</v>
      </c>
      <c r="E302">
        <v>0</v>
      </c>
      <c r="F302">
        <v>0</v>
      </c>
      <c r="G302">
        <v>0</v>
      </c>
      <c r="H302">
        <v>0.54331478099999997</v>
      </c>
      <c r="I302">
        <v>1.7369781900000001</v>
      </c>
      <c r="J302">
        <v>0.127155357</v>
      </c>
      <c r="K302">
        <v>0</v>
      </c>
      <c r="L302">
        <v>0</v>
      </c>
      <c r="M302">
        <v>0.49088222599999998</v>
      </c>
      <c r="N302">
        <v>0.58996058299999998</v>
      </c>
      <c r="O302">
        <v>0.23220785799999999</v>
      </c>
      <c r="P302">
        <v>1.04492114</v>
      </c>
      <c r="Q302">
        <v>0</v>
      </c>
      <c r="R302">
        <v>0</v>
      </c>
      <c r="S302">
        <v>0</v>
      </c>
      <c r="T302">
        <v>0.71350137999999996</v>
      </c>
      <c r="U302">
        <v>0</v>
      </c>
      <c r="V302">
        <v>0.49736964</v>
      </c>
      <c r="W302">
        <v>0.48397469900000001</v>
      </c>
      <c r="X302">
        <v>1.3423481509999999</v>
      </c>
      <c r="Y302">
        <v>0.111411527</v>
      </c>
      <c r="Z302">
        <v>0</v>
      </c>
      <c r="AA302">
        <v>0</v>
      </c>
      <c r="AB302">
        <v>0.795368199</v>
      </c>
      <c r="AC302">
        <v>2.8110450679999999</v>
      </c>
    </row>
    <row r="303" spans="1:29">
      <c r="A303" t="s">
        <v>249</v>
      </c>
      <c r="B303">
        <v>0.73926560900000005</v>
      </c>
      <c r="C303">
        <v>1.738334687</v>
      </c>
      <c r="D303">
        <v>0.81665092699999997</v>
      </c>
      <c r="E303">
        <v>0.79213796299999994</v>
      </c>
      <c r="F303">
        <v>1.053247584</v>
      </c>
      <c r="G303">
        <v>0</v>
      </c>
      <c r="H303">
        <v>0.62074749699999998</v>
      </c>
      <c r="I303">
        <v>0</v>
      </c>
      <c r="J303">
        <v>1.114246581</v>
      </c>
      <c r="K303">
        <v>3.155223334</v>
      </c>
      <c r="L303">
        <v>0</v>
      </c>
      <c r="M303">
        <v>0.76093819900000004</v>
      </c>
      <c r="N303">
        <v>1.1635619189999999</v>
      </c>
      <c r="O303">
        <v>0</v>
      </c>
      <c r="P303">
        <v>0.53502847799999997</v>
      </c>
      <c r="Q303">
        <v>0.89095906999999996</v>
      </c>
      <c r="R303">
        <v>0.78935359199999999</v>
      </c>
      <c r="S303">
        <v>3.489589692</v>
      </c>
      <c r="T303">
        <v>0.92826351600000001</v>
      </c>
      <c r="U303">
        <v>0</v>
      </c>
      <c r="V303">
        <v>0.72790645099999995</v>
      </c>
      <c r="W303">
        <v>0.70830279399999996</v>
      </c>
      <c r="X303">
        <v>1.964542666</v>
      </c>
      <c r="Y303">
        <v>0</v>
      </c>
      <c r="Z303">
        <v>0</v>
      </c>
      <c r="AA303">
        <v>0</v>
      </c>
      <c r="AB303">
        <v>1.809864707</v>
      </c>
      <c r="AC303">
        <v>0</v>
      </c>
    </row>
    <row r="304" spans="1:29">
      <c r="A304" t="s">
        <v>1581</v>
      </c>
      <c r="B304">
        <v>0.47640309600000003</v>
      </c>
      <c r="C304">
        <v>1.069567108</v>
      </c>
      <c r="D304">
        <v>0.97652588600000001</v>
      </c>
      <c r="E304">
        <v>1.4951802519999999</v>
      </c>
      <c r="F304">
        <v>0.79201768800000005</v>
      </c>
      <c r="G304">
        <v>0.60532045300000004</v>
      </c>
      <c r="H304">
        <v>0.97735711199999997</v>
      </c>
      <c r="I304">
        <v>0</v>
      </c>
      <c r="J304">
        <v>0.46270529799999999</v>
      </c>
      <c r="K304">
        <v>0</v>
      </c>
      <c r="L304">
        <v>0</v>
      </c>
      <c r="M304">
        <v>0.90085573600000002</v>
      </c>
      <c r="N304">
        <v>0.80864165799999999</v>
      </c>
      <c r="O304">
        <v>0</v>
      </c>
      <c r="P304">
        <v>0.951083389</v>
      </c>
      <c r="Q304">
        <v>0.53433238199999999</v>
      </c>
      <c r="R304">
        <v>0.473396814</v>
      </c>
      <c r="S304">
        <v>2.09280183</v>
      </c>
      <c r="T304">
        <v>1.684301329</v>
      </c>
      <c r="U304">
        <v>0</v>
      </c>
      <c r="V304">
        <v>0.59278815299999998</v>
      </c>
      <c r="W304">
        <v>0.57682344299999999</v>
      </c>
      <c r="X304">
        <v>1.599872645</v>
      </c>
      <c r="Y304">
        <v>0</v>
      </c>
      <c r="Z304">
        <v>0</v>
      </c>
      <c r="AA304">
        <v>0.96214507400000004</v>
      </c>
      <c r="AB304">
        <v>0.94683489899999995</v>
      </c>
      <c r="AC304">
        <v>3.1156280249999999</v>
      </c>
    </row>
    <row r="305" spans="1:29">
      <c r="A305" t="s">
        <v>1582</v>
      </c>
      <c r="B305">
        <v>0.37225211400000002</v>
      </c>
      <c r="C305">
        <v>0.78601372700000005</v>
      </c>
      <c r="D305">
        <v>0.70972805100000003</v>
      </c>
      <c r="E305">
        <v>1.2503405809999999</v>
      </c>
      <c r="F305">
        <v>0.79124912199999997</v>
      </c>
      <c r="G305">
        <v>0</v>
      </c>
      <c r="H305">
        <v>0.40716233200000002</v>
      </c>
      <c r="I305">
        <v>0.84071790899999999</v>
      </c>
      <c r="J305">
        <v>0.31472307199999999</v>
      </c>
      <c r="K305">
        <v>0.87420821999999998</v>
      </c>
      <c r="L305">
        <v>3.2127300870000002</v>
      </c>
      <c r="M305">
        <v>0.66546583999999998</v>
      </c>
      <c r="N305">
        <v>0.58624359199999998</v>
      </c>
      <c r="O305">
        <v>0.59911627300000003</v>
      </c>
      <c r="P305">
        <v>0.80105314100000002</v>
      </c>
      <c r="Q305">
        <v>0.496370596</v>
      </c>
      <c r="R305">
        <v>0.43976421100000002</v>
      </c>
      <c r="S305">
        <v>1.9441181670000001</v>
      </c>
      <c r="T305">
        <v>0.61209106899999999</v>
      </c>
      <c r="U305">
        <v>0.64538314200000002</v>
      </c>
      <c r="V305">
        <v>0.52871432200000001</v>
      </c>
      <c r="W305">
        <v>0.51447522000000001</v>
      </c>
      <c r="X305">
        <v>1.4269441389999999</v>
      </c>
      <c r="Y305">
        <v>0.20425407900000001</v>
      </c>
      <c r="Z305">
        <v>0</v>
      </c>
      <c r="AA305">
        <v>0.54980510199999999</v>
      </c>
      <c r="AB305">
        <v>0</v>
      </c>
      <c r="AC305">
        <v>0</v>
      </c>
    </row>
    <row r="306" spans="1:29">
      <c r="A306" t="s">
        <v>252</v>
      </c>
      <c r="B306">
        <v>0.26680684599999999</v>
      </c>
      <c r="C306">
        <v>0.69850619999999997</v>
      </c>
      <c r="D306">
        <v>0.61020474700000005</v>
      </c>
      <c r="E306">
        <v>0.63449487500000001</v>
      </c>
      <c r="F306">
        <v>0</v>
      </c>
      <c r="G306">
        <v>0</v>
      </c>
      <c r="H306">
        <v>0.28755786799999999</v>
      </c>
      <c r="I306">
        <v>0</v>
      </c>
      <c r="J306">
        <v>0.16629977200000001</v>
      </c>
      <c r="K306">
        <v>0</v>
      </c>
      <c r="L306">
        <v>0</v>
      </c>
      <c r="M306">
        <v>0.49238157399999999</v>
      </c>
      <c r="N306">
        <v>0.45652206299999998</v>
      </c>
      <c r="O306">
        <v>0</v>
      </c>
      <c r="P306">
        <v>0.623840324</v>
      </c>
      <c r="Q306">
        <v>0.47199324100000001</v>
      </c>
      <c r="R306">
        <v>0.41816686400000003</v>
      </c>
      <c r="S306">
        <v>1.848640195</v>
      </c>
      <c r="T306">
        <v>0.68907739700000004</v>
      </c>
      <c r="U306">
        <v>0.65009114000000001</v>
      </c>
      <c r="V306">
        <v>0</v>
      </c>
      <c r="W306">
        <v>0</v>
      </c>
      <c r="X306">
        <v>0</v>
      </c>
      <c r="Y306">
        <v>6.5300585999999994E-2</v>
      </c>
      <c r="Z306">
        <v>0</v>
      </c>
      <c r="AA306">
        <v>0.47709734999999998</v>
      </c>
      <c r="AB306">
        <v>0</v>
      </c>
      <c r="AC306">
        <v>0</v>
      </c>
    </row>
    <row r="307" spans="1:29">
      <c r="A307" t="s">
        <v>357</v>
      </c>
      <c r="B307">
        <v>2.274774329</v>
      </c>
      <c r="C307">
        <v>1.333301114</v>
      </c>
      <c r="D307">
        <v>6.5039042770000002</v>
      </c>
      <c r="E307">
        <v>56.879418319999999</v>
      </c>
      <c r="F307">
        <v>0</v>
      </c>
      <c r="G307">
        <v>0.452247868</v>
      </c>
      <c r="H307">
        <v>2.2376156470000002</v>
      </c>
      <c r="I307">
        <v>0</v>
      </c>
      <c r="J307">
        <v>3.3912497949999998</v>
      </c>
      <c r="K307">
        <v>1.4023717929999999</v>
      </c>
      <c r="L307">
        <v>0</v>
      </c>
      <c r="M307">
        <v>4.085458676</v>
      </c>
      <c r="N307">
        <v>1.0869008680000001</v>
      </c>
      <c r="O307">
        <v>0.69468050400000003</v>
      </c>
      <c r="P307">
        <v>1.629041261</v>
      </c>
      <c r="Q307">
        <v>0</v>
      </c>
      <c r="R307">
        <v>0</v>
      </c>
      <c r="S307">
        <v>0</v>
      </c>
      <c r="T307">
        <v>4.0179850100000003</v>
      </c>
      <c r="U307">
        <v>0</v>
      </c>
      <c r="V307">
        <v>3.1285276729999998</v>
      </c>
      <c r="W307">
        <v>3.0442715370000002</v>
      </c>
      <c r="X307">
        <v>8.4435659059999999</v>
      </c>
      <c r="Y307">
        <v>0</v>
      </c>
      <c r="Z307">
        <v>0</v>
      </c>
      <c r="AA307">
        <v>0</v>
      </c>
      <c r="AB307">
        <v>9.7575977229999999</v>
      </c>
      <c r="AC307">
        <v>0</v>
      </c>
    </row>
    <row r="308" spans="1:29">
      <c r="A308" t="s">
        <v>1583</v>
      </c>
      <c r="B308">
        <v>0</v>
      </c>
      <c r="C308">
        <v>0.88166117799999999</v>
      </c>
      <c r="D308">
        <v>0.97912027000000001</v>
      </c>
      <c r="E308">
        <v>0</v>
      </c>
      <c r="F308">
        <v>0</v>
      </c>
      <c r="G308">
        <v>0.58935201299999995</v>
      </c>
      <c r="H308">
        <v>0.651010282</v>
      </c>
      <c r="I308">
        <v>0</v>
      </c>
      <c r="J308">
        <v>0.46697923299999999</v>
      </c>
      <c r="K308">
        <v>0</v>
      </c>
      <c r="L308">
        <v>0</v>
      </c>
      <c r="M308">
        <v>0.87037328300000005</v>
      </c>
      <c r="N308">
        <v>0.84924200699999997</v>
      </c>
      <c r="O308">
        <v>0</v>
      </c>
      <c r="P308">
        <v>0</v>
      </c>
      <c r="Q308">
        <v>0.56631766800000005</v>
      </c>
      <c r="R308">
        <v>0.50173447999999998</v>
      </c>
      <c r="S308">
        <v>2.2180775330000002</v>
      </c>
      <c r="T308">
        <v>0.94258106399999997</v>
      </c>
      <c r="U308">
        <v>0</v>
      </c>
      <c r="V308">
        <v>0.58830439700000003</v>
      </c>
      <c r="W308">
        <v>0.57246044100000004</v>
      </c>
      <c r="X308">
        <v>1.587771461</v>
      </c>
      <c r="Y308">
        <v>0.33513699699999999</v>
      </c>
      <c r="Z308">
        <v>1.5339474369999999</v>
      </c>
      <c r="AA308">
        <v>0.78079352400000002</v>
      </c>
      <c r="AB308">
        <v>1.017856136</v>
      </c>
      <c r="AC308">
        <v>0.38157692199999999</v>
      </c>
    </row>
    <row r="309" spans="1:29">
      <c r="A309" t="s">
        <v>362</v>
      </c>
      <c r="B309">
        <v>0</v>
      </c>
      <c r="C309">
        <v>0.69901160100000004</v>
      </c>
      <c r="D309">
        <v>5.1257748359999997</v>
      </c>
      <c r="E309">
        <v>1.3597839700000001</v>
      </c>
      <c r="F309">
        <v>0</v>
      </c>
      <c r="G309">
        <v>0</v>
      </c>
      <c r="H309">
        <v>1.5329794999999999</v>
      </c>
      <c r="I309">
        <v>0</v>
      </c>
      <c r="J309">
        <v>0</v>
      </c>
      <c r="K309">
        <v>0</v>
      </c>
      <c r="L309">
        <v>8.5756605359999991</v>
      </c>
      <c r="M309">
        <v>3.4419837740000001</v>
      </c>
      <c r="N309">
        <v>0.60941301599999997</v>
      </c>
      <c r="O309">
        <v>0</v>
      </c>
      <c r="P309">
        <v>6.7563021020000003</v>
      </c>
      <c r="Q309">
        <v>2.6041621400000001</v>
      </c>
      <c r="R309">
        <v>2.3071820110000001</v>
      </c>
      <c r="S309">
        <v>10.199635049999999</v>
      </c>
      <c r="T309">
        <v>0.91297899400000004</v>
      </c>
      <c r="U309">
        <v>0</v>
      </c>
      <c r="V309">
        <v>2.8615672380000001</v>
      </c>
      <c r="W309">
        <v>2.7845007640000001</v>
      </c>
      <c r="X309">
        <v>7.7230678770000001</v>
      </c>
      <c r="Y309">
        <v>0</v>
      </c>
      <c r="Z309">
        <v>1.23641209</v>
      </c>
      <c r="AA309">
        <v>6.977589118</v>
      </c>
      <c r="AB309">
        <v>1.29968134</v>
      </c>
      <c r="AC309">
        <v>0</v>
      </c>
    </row>
    <row r="310" spans="1:29">
      <c r="A310" t="s">
        <v>248</v>
      </c>
      <c r="B310">
        <v>0.396139876</v>
      </c>
      <c r="C310">
        <v>0.77374863400000005</v>
      </c>
      <c r="D310">
        <v>0.85222316300000001</v>
      </c>
      <c r="E310">
        <v>1.506076736</v>
      </c>
      <c r="F310">
        <v>0</v>
      </c>
      <c r="G310">
        <v>0</v>
      </c>
      <c r="H310">
        <v>0.60898914199999998</v>
      </c>
      <c r="I310">
        <v>1.059886101</v>
      </c>
      <c r="J310">
        <v>0.360388704</v>
      </c>
      <c r="K310">
        <v>1.000776632</v>
      </c>
      <c r="L310">
        <v>2.4069734199999999</v>
      </c>
      <c r="M310">
        <v>0.76372741</v>
      </c>
      <c r="N310">
        <v>0.72038197699999995</v>
      </c>
      <c r="O310">
        <v>0.37834293400000002</v>
      </c>
      <c r="P310">
        <v>0.99945426599999998</v>
      </c>
      <c r="Q310">
        <v>0.51218266999999995</v>
      </c>
      <c r="R310">
        <v>0.45377306699999997</v>
      </c>
      <c r="S310">
        <v>2.006048791</v>
      </c>
      <c r="T310">
        <v>0.939664316</v>
      </c>
      <c r="U310">
        <v>0</v>
      </c>
      <c r="V310">
        <v>0.95113410099999995</v>
      </c>
      <c r="W310">
        <v>0.92551857400000004</v>
      </c>
      <c r="X310">
        <v>2.5670105250000002</v>
      </c>
      <c r="Y310">
        <v>0</v>
      </c>
      <c r="Z310">
        <v>0</v>
      </c>
      <c r="AA310">
        <v>0.72694490499999997</v>
      </c>
      <c r="AB310">
        <v>0</v>
      </c>
      <c r="AC310">
        <v>0</v>
      </c>
    </row>
    <row r="311" spans="1:29">
      <c r="A311" t="s">
        <v>1584</v>
      </c>
      <c r="B311">
        <v>0</v>
      </c>
      <c r="C311">
        <v>0</v>
      </c>
      <c r="D311">
        <v>0</v>
      </c>
      <c r="E311">
        <v>0</v>
      </c>
      <c r="F311">
        <v>0</v>
      </c>
      <c r="G311">
        <v>0</v>
      </c>
      <c r="H311">
        <v>1.0568302119999999</v>
      </c>
      <c r="I311">
        <v>0</v>
      </c>
      <c r="J311">
        <v>1.4201663179999999</v>
      </c>
      <c r="K311">
        <v>0</v>
      </c>
      <c r="L311">
        <v>1.039025394</v>
      </c>
      <c r="M311">
        <v>0</v>
      </c>
      <c r="N311">
        <v>0</v>
      </c>
      <c r="O311">
        <v>0</v>
      </c>
      <c r="P311">
        <v>0</v>
      </c>
      <c r="Q311">
        <v>0</v>
      </c>
      <c r="R311">
        <v>0</v>
      </c>
      <c r="S311">
        <v>0</v>
      </c>
      <c r="T311">
        <v>0</v>
      </c>
      <c r="U311">
        <v>0</v>
      </c>
      <c r="V311">
        <v>0</v>
      </c>
      <c r="W311">
        <v>0</v>
      </c>
      <c r="X311">
        <v>0</v>
      </c>
      <c r="Y311">
        <v>0</v>
      </c>
      <c r="Z311">
        <v>0</v>
      </c>
      <c r="AA311">
        <v>0</v>
      </c>
      <c r="AB311">
        <v>2.3166383320000001</v>
      </c>
      <c r="AC311">
        <v>0</v>
      </c>
    </row>
    <row r="312" spans="1:29">
      <c r="A312" t="s">
        <v>1585</v>
      </c>
      <c r="B312">
        <v>0.50796161900000003</v>
      </c>
      <c r="C312">
        <v>2.656589817</v>
      </c>
      <c r="D312">
        <v>1.6964218550000001</v>
      </c>
      <c r="E312">
        <v>3.394979346</v>
      </c>
      <c r="F312">
        <v>2.8436540529999998</v>
      </c>
      <c r="G312">
        <v>0</v>
      </c>
      <c r="H312">
        <v>0.51983549799999995</v>
      </c>
      <c r="I312">
        <v>0</v>
      </c>
      <c r="J312">
        <v>0.75427161700000001</v>
      </c>
      <c r="K312">
        <v>0</v>
      </c>
      <c r="L312">
        <v>0</v>
      </c>
      <c r="M312">
        <v>1.0333648950000001</v>
      </c>
      <c r="N312">
        <v>1.045651377</v>
      </c>
      <c r="O312">
        <v>0.44916034900000001</v>
      </c>
      <c r="P312">
        <v>1.864104481</v>
      </c>
      <c r="Q312">
        <v>0</v>
      </c>
      <c r="R312">
        <v>0</v>
      </c>
      <c r="S312">
        <v>0</v>
      </c>
      <c r="T312">
        <v>2.0340062240000001</v>
      </c>
      <c r="U312">
        <v>0</v>
      </c>
      <c r="V312">
        <v>0.79425676199999995</v>
      </c>
      <c r="W312">
        <v>0.77286618699999998</v>
      </c>
      <c r="X312">
        <v>2.1436151489999999</v>
      </c>
      <c r="Y312">
        <v>0.59264476799999999</v>
      </c>
      <c r="Z312">
        <v>0</v>
      </c>
      <c r="AA312">
        <v>0</v>
      </c>
      <c r="AB312">
        <v>2.026702615</v>
      </c>
      <c r="AC312">
        <v>0</v>
      </c>
    </row>
    <row r="313" spans="1:29">
      <c r="A313" t="s">
        <v>136</v>
      </c>
      <c r="B313">
        <v>0.48190111699999999</v>
      </c>
      <c r="C313">
        <v>0.74675772100000004</v>
      </c>
      <c r="D313">
        <v>0.73812746799999995</v>
      </c>
      <c r="E313">
        <v>1.143285433</v>
      </c>
      <c r="F313">
        <v>0</v>
      </c>
      <c r="G313">
        <v>0</v>
      </c>
      <c r="H313">
        <v>0</v>
      </c>
      <c r="I313">
        <v>1.1984928829999999</v>
      </c>
      <c r="J313">
        <v>0</v>
      </c>
      <c r="K313">
        <v>0</v>
      </c>
      <c r="L313">
        <v>0</v>
      </c>
      <c r="M313">
        <v>0.595782912</v>
      </c>
      <c r="N313">
        <v>0.57812237799999999</v>
      </c>
      <c r="O313">
        <v>0</v>
      </c>
      <c r="P313">
        <v>0</v>
      </c>
      <c r="Q313">
        <v>0.43561064900000002</v>
      </c>
      <c r="R313">
        <v>0.38593336299999997</v>
      </c>
      <c r="S313">
        <v>1.7061417080000001</v>
      </c>
      <c r="T313">
        <v>0.485891187</v>
      </c>
      <c r="U313">
        <v>0.67586500000000005</v>
      </c>
      <c r="V313">
        <v>0</v>
      </c>
      <c r="W313">
        <v>0</v>
      </c>
      <c r="X313">
        <v>0</v>
      </c>
      <c r="Y313">
        <v>0</v>
      </c>
      <c r="Z313">
        <v>0</v>
      </c>
      <c r="AA313">
        <v>0.40937516099999999</v>
      </c>
      <c r="AB313">
        <v>0</v>
      </c>
      <c r="AC313">
        <v>0</v>
      </c>
    </row>
    <row r="314" spans="1:29">
      <c r="A314" t="s">
        <v>1586</v>
      </c>
      <c r="B314">
        <v>0.24044731599999999</v>
      </c>
      <c r="C314">
        <v>0.80220583999999995</v>
      </c>
      <c r="D314">
        <v>0</v>
      </c>
      <c r="E314">
        <v>1.184257414</v>
      </c>
      <c r="F314">
        <v>0.68867958100000004</v>
      </c>
      <c r="G314">
        <v>0</v>
      </c>
      <c r="H314">
        <v>1.2266224640000001</v>
      </c>
      <c r="I314">
        <v>0.94364387400000005</v>
      </c>
      <c r="J314">
        <v>0.401919949</v>
      </c>
      <c r="K314">
        <v>0</v>
      </c>
      <c r="L314">
        <v>0</v>
      </c>
      <c r="M314">
        <v>1.159359925</v>
      </c>
      <c r="N314">
        <v>1.065691181</v>
      </c>
      <c r="O314">
        <v>0.94463309399999995</v>
      </c>
      <c r="P314">
        <v>0.72621424800000001</v>
      </c>
      <c r="Q314">
        <v>0</v>
      </c>
      <c r="R314">
        <v>0</v>
      </c>
      <c r="S314">
        <v>0</v>
      </c>
      <c r="T314">
        <v>4.2165831000000003</v>
      </c>
      <c r="U314">
        <v>0</v>
      </c>
      <c r="V314">
        <v>1.814689268</v>
      </c>
      <c r="W314">
        <v>1.7658168519999999</v>
      </c>
      <c r="X314">
        <v>4.8976547549999996</v>
      </c>
      <c r="Y314">
        <v>0.30210103300000002</v>
      </c>
      <c r="Z314">
        <v>0</v>
      </c>
      <c r="AA314">
        <v>0</v>
      </c>
      <c r="AB314">
        <v>2.2633141430000001</v>
      </c>
      <c r="AC314">
        <v>0.59463101100000004</v>
      </c>
    </row>
    <row r="315" spans="1:29">
      <c r="A315" t="s">
        <v>1587</v>
      </c>
      <c r="B315">
        <v>0</v>
      </c>
      <c r="C315">
        <v>1.1281565330000001</v>
      </c>
      <c r="D315">
        <v>0.73958718999999995</v>
      </c>
      <c r="E315">
        <v>0</v>
      </c>
      <c r="F315">
        <v>0</v>
      </c>
      <c r="G315">
        <v>0</v>
      </c>
      <c r="H315">
        <v>0.67180268200000004</v>
      </c>
      <c r="I315">
        <v>0</v>
      </c>
      <c r="J315">
        <v>0</v>
      </c>
      <c r="K315">
        <v>0.44931797499999998</v>
      </c>
      <c r="L315">
        <v>0</v>
      </c>
      <c r="M315">
        <v>0.65211994699999998</v>
      </c>
      <c r="N315">
        <v>0.60507998100000004</v>
      </c>
      <c r="O315">
        <v>0</v>
      </c>
      <c r="P315">
        <v>0</v>
      </c>
      <c r="Q315">
        <v>0</v>
      </c>
      <c r="R315">
        <v>0</v>
      </c>
      <c r="S315">
        <v>0</v>
      </c>
      <c r="T315">
        <v>0.92591410200000002</v>
      </c>
      <c r="U315">
        <v>0</v>
      </c>
      <c r="V315">
        <v>0.36564967100000001</v>
      </c>
      <c r="W315">
        <v>0.35580215500000001</v>
      </c>
      <c r="X315">
        <v>0.98684986100000005</v>
      </c>
      <c r="Y315">
        <v>0</v>
      </c>
      <c r="Z315">
        <v>0.69659225499999999</v>
      </c>
      <c r="AA315">
        <v>0</v>
      </c>
      <c r="AB315">
        <v>1.029759079</v>
      </c>
      <c r="AC315">
        <v>0</v>
      </c>
    </row>
    <row r="316" spans="1:29">
      <c r="A316" t="s">
        <v>1588</v>
      </c>
      <c r="B316">
        <v>0.20816799599999999</v>
      </c>
      <c r="C316">
        <v>0.83212075100000005</v>
      </c>
      <c r="D316">
        <v>0.91310107600000001</v>
      </c>
      <c r="E316">
        <v>1.046826166</v>
      </c>
      <c r="F316">
        <v>0.98291419099999999</v>
      </c>
      <c r="G316">
        <v>0</v>
      </c>
      <c r="H316">
        <v>0.37726503099999997</v>
      </c>
      <c r="I316">
        <v>1.0084550960000001</v>
      </c>
      <c r="J316">
        <v>0.14794724300000001</v>
      </c>
      <c r="K316">
        <v>0.84357441499999997</v>
      </c>
      <c r="L316">
        <v>0</v>
      </c>
      <c r="M316">
        <v>0.80701142999999997</v>
      </c>
      <c r="N316">
        <v>0.80574252899999999</v>
      </c>
      <c r="O316">
        <v>0.19876364299999999</v>
      </c>
      <c r="P316">
        <v>0.92587984099999998</v>
      </c>
      <c r="Q316">
        <v>0.52510659199999998</v>
      </c>
      <c r="R316">
        <v>0.46522313799999998</v>
      </c>
      <c r="S316">
        <v>2.0566674859999998</v>
      </c>
      <c r="T316">
        <v>0.85117137200000004</v>
      </c>
      <c r="U316">
        <v>0.88295359399999995</v>
      </c>
      <c r="V316">
        <v>0.38940877699999998</v>
      </c>
      <c r="W316">
        <v>0.37892139000000002</v>
      </c>
      <c r="X316">
        <v>1.050973178</v>
      </c>
      <c r="Y316">
        <v>0.135085697</v>
      </c>
      <c r="Z316">
        <v>0</v>
      </c>
      <c r="AA316">
        <v>0.77900381900000004</v>
      </c>
      <c r="AB316">
        <v>0</v>
      </c>
      <c r="AC316">
        <v>0</v>
      </c>
    </row>
    <row r="317" spans="1:29">
      <c r="A317" t="s">
        <v>1589</v>
      </c>
      <c r="B317">
        <v>0.42783795600000002</v>
      </c>
      <c r="C317">
        <v>0</v>
      </c>
      <c r="D317">
        <v>0.66982205100000003</v>
      </c>
      <c r="E317">
        <v>3.9261793269999998</v>
      </c>
      <c r="F317">
        <v>0</v>
      </c>
      <c r="G317">
        <v>0</v>
      </c>
      <c r="H317">
        <v>0.348696373</v>
      </c>
      <c r="I317">
        <v>0</v>
      </c>
      <c r="J317">
        <v>0.24439799500000001</v>
      </c>
      <c r="K317">
        <v>0</v>
      </c>
      <c r="L317">
        <v>0</v>
      </c>
      <c r="M317">
        <v>0.56061612699999996</v>
      </c>
      <c r="N317">
        <v>0.52904233300000003</v>
      </c>
      <c r="O317">
        <v>0.35947174599999998</v>
      </c>
      <c r="P317">
        <v>4.0763168869999999</v>
      </c>
      <c r="Q317">
        <v>0.643378797</v>
      </c>
      <c r="R317">
        <v>0.57000751400000005</v>
      </c>
      <c r="S317">
        <v>2.5199002890000002</v>
      </c>
      <c r="T317">
        <v>0.89108743099999999</v>
      </c>
      <c r="U317">
        <v>0</v>
      </c>
      <c r="V317">
        <v>0</v>
      </c>
      <c r="W317">
        <v>0</v>
      </c>
      <c r="X317">
        <v>0</v>
      </c>
      <c r="Y317">
        <v>7.2247953000000004E-2</v>
      </c>
      <c r="Z317">
        <v>0</v>
      </c>
      <c r="AA317">
        <v>0.65973020900000001</v>
      </c>
      <c r="AB317">
        <v>0</v>
      </c>
      <c r="AC317">
        <v>0</v>
      </c>
    </row>
    <row r="318" spans="1:29">
      <c r="A318" t="s">
        <v>1590</v>
      </c>
      <c r="B318">
        <v>0.29031374999999998</v>
      </c>
      <c r="C318">
        <v>0.69902723099999997</v>
      </c>
      <c r="D318">
        <v>0.88753326300000002</v>
      </c>
      <c r="E318">
        <v>0</v>
      </c>
      <c r="F318">
        <v>0</v>
      </c>
      <c r="G318">
        <v>0.26375357799999999</v>
      </c>
      <c r="H318">
        <v>0.51428315599999996</v>
      </c>
      <c r="I318">
        <v>0</v>
      </c>
      <c r="J318">
        <v>0.319681983</v>
      </c>
      <c r="K318">
        <v>1.2699955629999999</v>
      </c>
      <c r="L318">
        <v>1.4541784179999999</v>
      </c>
      <c r="M318">
        <v>0.67746182700000002</v>
      </c>
      <c r="N318">
        <v>0.67923602800000005</v>
      </c>
      <c r="O318">
        <v>0</v>
      </c>
      <c r="P318">
        <v>0</v>
      </c>
      <c r="Q318">
        <v>0.55429429600000002</v>
      </c>
      <c r="R318">
        <v>0.49108225900000002</v>
      </c>
      <c r="S318">
        <v>2.1709859909999998</v>
      </c>
      <c r="T318">
        <v>0.77325798499999998</v>
      </c>
      <c r="U318">
        <v>1.013674376</v>
      </c>
      <c r="V318">
        <v>0.54253628499999995</v>
      </c>
      <c r="W318">
        <v>0.52792493500000004</v>
      </c>
      <c r="X318">
        <v>1.464248156</v>
      </c>
      <c r="Y318">
        <v>0.239504524</v>
      </c>
      <c r="Z318">
        <v>0</v>
      </c>
      <c r="AA318">
        <v>0.743409498</v>
      </c>
      <c r="AB318">
        <v>0</v>
      </c>
      <c r="AC318">
        <v>0</v>
      </c>
    </row>
    <row r="319" spans="1:29">
      <c r="A319" t="s">
        <v>1591</v>
      </c>
      <c r="B319">
        <v>0</v>
      </c>
      <c r="C319">
        <v>1.359914676</v>
      </c>
      <c r="D319">
        <v>0.83068194200000001</v>
      </c>
      <c r="E319">
        <v>0</v>
      </c>
      <c r="F319">
        <v>0</v>
      </c>
      <c r="G319">
        <v>0</v>
      </c>
      <c r="H319">
        <v>0</v>
      </c>
      <c r="I319">
        <v>0</v>
      </c>
      <c r="J319">
        <v>0</v>
      </c>
      <c r="K319">
        <v>1.20743603</v>
      </c>
      <c r="L319">
        <v>0</v>
      </c>
      <c r="M319">
        <v>0.81314879600000001</v>
      </c>
      <c r="N319">
        <v>0.89421766700000005</v>
      </c>
      <c r="O319">
        <v>0</v>
      </c>
      <c r="P319">
        <v>1.100416324</v>
      </c>
      <c r="Q319">
        <v>0.752805842</v>
      </c>
      <c r="R319">
        <v>0.66695543599999996</v>
      </c>
      <c r="S319">
        <v>2.948489549</v>
      </c>
      <c r="T319">
        <v>1.6851972390000001</v>
      </c>
      <c r="U319">
        <v>0</v>
      </c>
      <c r="V319">
        <v>0</v>
      </c>
      <c r="W319">
        <v>0</v>
      </c>
      <c r="X319">
        <v>0</v>
      </c>
      <c r="Y319">
        <v>0.122488692</v>
      </c>
      <c r="Z319">
        <v>0</v>
      </c>
      <c r="AA319">
        <v>0</v>
      </c>
      <c r="AB319">
        <v>0</v>
      </c>
      <c r="AC319">
        <v>0</v>
      </c>
    </row>
    <row r="320" spans="1:29">
      <c r="A320" t="s">
        <v>1592</v>
      </c>
      <c r="B320">
        <v>0.33575223700000001</v>
      </c>
      <c r="C320">
        <v>0.88984485700000004</v>
      </c>
      <c r="D320">
        <v>1.149379675</v>
      </c>
      <c r="E320">
        <v>0</v>
      </c>
      <c r="F320">
        <v>0</v>
      </c>
      <c r="G320">
        <v>0.41326553900000002</v>
      </c>
      <c r="H320">
        <v>1.0631468610000001</v>
      </c>
      <c r="I320">
        <v>0</v>
      </c>
      <c r="J320">
        <v>0</v>
      </c>
      <c r="K320">
        <v>0</v>
      </c>
      <c r="L320">
        <v>0</v>
      </c>
      <c r="M320">
        <v>0.85931522500000002</v>
      </c>
      <c r="N320">
        <v>0.79803804099999998</v>
      </c>
      <c r="O320">
        <v>0.320171549</v>
      </c>
      <c r="P320">
        <v>1.5748498179999999</v>
      </c>
      <c r="Q320">
        <v>0.57631670700000004</v>
      </c>
      <c r="R320">
        <v>0.51059322200000001</v>
      </c>
      <c r="S320">
        <v>2.2572404349999999</v>
      </c>
      <c r="T320">
        <v>0</v>
      </c>
      <c r="U320">
        <v>0</v>
      </c>
      <c r="V320">
        <v>0.75447401999999997</v>
      </c>
      <c r="W320">
        <v>0.73415485599999997</v>
      </c>
      <c r="X320">
        <v>2.036245729</v>
      </c>
      <c r="Y320">
        <v>0.22081914899999999</v>
      </c>
      <c r="Z320">
        <v>3.1143291199999998</v>
      </c>
      <c r="AA320">
        <v>0</v>
      </c>
      <c r="AB320">
        <v>1.027925059</v>
      </c>
      <c r="AC320">
        <v>0</v>
      </c>
    </row>
    <row r="321" spans="1:29">
      <c r="A321" t="s">
        <v>1593</v>
      </c>
      <c r="B321">
        <v>0.44938875900000003</v>
      </c>
      <c r="C321">
        <v>0.90590798400000005</v>
      </c>
      <c r="D321">
        <v>0.77805842199999997</v>
      </c>
      <c r="E321">
        <v>1.301264822</v>
      </c>
      <c r="F321">
        <v>0</v>
      </c>
      <c r="G321">
        <v>0.41011530000000002</v>
      </c>
      <c r="H321">
        <v>0.57491247400000001</v>
      </c>
      <c r="I321">
        <v>0</v>
      </c>
      <c r="J321">
        <v>0.39100861999999997</v>
      </c>
      <c r="K321">
        <v>0</v>
      </c>
      <c r="L321">
        <v>10.3770241</v>
      </c>
      <c r="M321">
        <v>0.83989448099999997</v>
      </c>
      <c r="N321">
        <v>0.76715090200000002</v>
      </c>
      <c r="O321">
        <v>0</v>
      </c>
      <c r="P321">
        <v>0</v>
      </c>
      <c r="Q321">
        <v>0.78308797900000005</v>
      </c>
      <c r="R321">
        <v>0.69378418100000006</v>
      </c>
      <c r="S321">
        <v>3.0670945829999998</v>
      </c>
      <c r="T321">
        <v>0.77835485800000004</v>
      </c>
      <c r="U321">
        <v>0.85327595499999997</v>
      </c>
      <c r="V321">
        <v>0.77772911899999997</v>
      </c>
      <c r="W321">
        <v>0.756783659</v>
      </c>
      <c r="X321">
        <v>2.0990087850000001</v>
      </c>
      <c r="Y321">
        <v>0.31626618699999998</v>
      </c>
      <c r="Z321">
        <v>0.81438784900000005</v>
      </c>
      <c r="AA321">
        <v>0.87648971099999995</v>
      </c>
      <c r="AB321">
        <v>0.803846862</v>
      </c>
      <c r="AC321">
        <v>0</v>
      </c>
    </row>
    <row r="322" spans="1:29">
      <c r="A322" t="s">
        <v>1594</v>
      </c>
      <c r="B322">
        <v>0.57646173899999997</v>
      </c>
      <c r="C322">
        <v>1.443017384</v>
      </c>
      <c r="D322">
        <v>1.3173905589999999</v>
      </c>
      <c r="E322">
        <v>1.497963629</v>
      </c>
      <c r="F322">
        <v>0</v>
      </c>
      <c r="G322">
        <v>0.47750846499999999</v>
      </c>
      <c r="H322">
        <v>0.72704542500000002</v>
      </c>
      <c r="I322">
        <v>0</v>
      </c>
      <c r="J322">
        <v>0.76996890100000004</v>
      </c>
      <c r="K322">
        <v>1.1678497510000001</v>
      </c>
      <c r="L322">
        <v>2.0014673759999999</v>
      </c>
      <c r="M322">
        <v>1.569680644</v>
      </c>
      <c r="N322">
        <v>1.160825338</v>
      </c>
      <c r="O322">
        <v>0.43175585100000002</v>
      </c>
      <c r="P322">
        <v>0</v>
      </c>
      <c r="Q322">
        <v>0.63089546699999999</v>
      </c>
      <c r="R322">
        <v>0.55894779000000006</v>
      </c>
      <c r="S322">
        <v>2.4710072470000002</v>
      </c>
      <c r="T322">
        <v>1.3207169030000001</v>
      </c>
      <c r="U322">
        <v>0</v>
      </c>
      <c r="V322">
        <v>0.69421671900000004</v>
      </c>
      <c r="W322">
        <v>0.67552037899999995</v>
      </c>
      <c r="X322">
        <v>1.8736176360000001</v>
      </c>
      <c r="Y322">
        <v>0.46429040599999999</v>
      </c>
      <c r="Z322">
        <v>1.0777539169999999</v>
      </c>
      <c r="AA322">
        <v>0</v>
      </c>
      <c r="AB322">
        <v>1.6310992019999999</v>
      </c>
      <c r="AC322">
        <v>0</v>
      </c>
    </row>
    <row r="323" spans="1:29">
      <c r="A323" t="s">
        <v>1595</v>
      </c>
      <c r="B323">
        <v>0.289559697</v>
      </c>
      <c r="C323">
        <v>0.813791449</v>
      </c>
      <c r="D323">
        <v>1.1899484819999999</v>
      </c>
      <c r="E323">
        <v>0.49480562099999997</v>
      </c>
      <c r="F323">
        <v>1.3319300860000001</v>
      </c>
      <c r="G323">
        <v>0</v>
      </c>
      <c r="H323">
        <v>0.42935831699999999</v>
      </c>
      <c r="I323">
        <v>0.91158692299999999</v>
      </c>
      <c r="J323">
        <v>0.25564678000000002</v>
      </c>
      <c r="K323">
        <v>0.77894851799999998</v>
      </c>
      <c r="L323">
        <v>0</v>
      </c>
      <c r="M323">
        <v>0.70927589700000004</v>
      </c>
      <c r="N323">
        <v>0.69944718800000005</v>
      </c>
      <c r="O323">
        <v>0.27475580500000002</v>
      </c>
      <c r="P323">
        <v>0.63160797199999996</v>
      </c>
      <c r="Q323">
        <v>0.38191553900000003</v>
      </c>
      <c r="R323">
        <v>0.338361674</v>
      </c>
      <c r="S323">
        <v>1.4958358620000001</v>
      </c>
      <c r="T323">
        <v>0.83795894599999998</v>
      </c>
      <c r="U323">
        <v>0.75842665399999998</v>
      </c>
      <c r="V323">
        <v>0.46756141699999998</v>
      </c>
      <c r="W323">
        <v>0.45496925799999999</v>
      </c>
      <c r="X323">
        <v>1.2618989030000001</v>
      </c>
      <c r="Y323">
        <v>0.120357268</v>
      </c>
      <c r="Z323">
        <v>0</v>
      </c>
      <c r="AA323">
        <v>0.73934162299999995</v>
      </c>
      <c r="AB323">
        <v>0</v>
      </c>
      <c r="AC323">
        <v>0</v>
      </c>
    </row>
    <row r="324" spans="1:29">
      <c r="A324" t="s">
        <v>1596</v>
      </c>
      <c r="B324">
        <v>0.52044121300000001</v>
      </c>
      <c r="C324">
        <v>1.3710348130000001</v>
      </c>
      <c r="D324">
        <v>1.0325747160000001</v>
      </c>
      <c r="E324">
        <v>0.96375381500000001</v>
      </c>
      <c r="F324">
        <v>0</v>
      </c>
      <c r="G324">
        <v>0</v>
      </c>
      <c r="H324">
        <v>0.72417191599999997</v>
      </c>
      <c r="I324">
        <v>1.208427548</v>
      </c>
      <c r="J324">
        <v>0.69182076400000003</v>
      </c>
      <c r="K324">
        <v>0</v>
      </c>
      <c r="L324">
        <v>1.7870414729999999</v>
      </c>
      <c r="M324">
        <v>1.069398391</v>
      </c>
      <c r="N324">
        <v>1.002243394</v>
      </c>
      <c r="O324">
        <v>0.853738361</v>
      </c>
      <c r="P324">
        <v>0</v>
      </c>
      <c r="Q324">
        <v>0.59324933300000005</v>
      </c>
      <c r="R324">
        <v>0.52559484199999995</v>
      </c>
      <c r="S324">
        <v>2.3235598890000002</v>
      </c>
      <c r="T324">
        <v>0.92437096799999996</v>
      </c>
      <c r="U324">
        <v>1.1658662980000001</v>
      </c>
      <c r="V324">
        <v>0.80509342399999995</v>
      </c>
      <c r="W324">
        <v>0.78341100100000005</v>
      </c>
      <c r="X324">
        <v>2.172862158</v>
      </c>
      <c r="Y324">
        <v>0.47376775500000001</v>
      </c>
      <c r="Z324">
        <v>2.5065905270000002</v>
      </c>
      <c r="AA324">
        <v>0.94725169200000003</v>
      </c>
      <c r="AB324">
        <v>1.1887377299999999</v>
      </c>
      <c r="AC324">
        <v>0</v>
      </c>
    </row>
    <row r="325" spans="1:29">
      <c r="A325" t="s">
        <v>1597</v>
      </c>
      <c r="B325">
        <v>0.15654596100000001</v>
      </c>
      <c r="C325">
        <v>0</v>
      </c>
      <c r="D325">
        <v>1.257662949</v>
      </c>
      <c r="E325">
        <v>0</v>
      </c>
      <c r="F325">
        <v>0</v>
      </c>
      <c r="G325">
        <v>0</v>
      </c>
      <c r="H325">
        <v>0</v>
      </c>
      <c r="I325">
        <v>1.3018231929999999</v>
      </c>
      <c r="J325">
        <v>0.11723831799999999</v>
      </c>
      <c r="K325">
        <v>0</v>
      </c>
      <c r="L325">
        <v>0</v>
      </c>
      <c r="M325">
        <v>0.99345359700000002</v>
      </c>
      <c r="N325">
        <v>1.1027853949999999</v>
      </c>
      <c r="O325">
        <v>0.142501398</v>
      </c>
      <c r="P325">
        <v>0.70589778299999995</v>
      </c>
      <c r="Q325">
        <v>0</v>
      </c>
      <c r="R325">
        <v>0</v>
      </c>
      <c r="S325">
        <v>0</v>
      </c>
      <c r="T325">
        <v>0</v>
      </c>
      <c r="U325">
        <v>0</v>
      </c>
      <c r="V325">
        <v>0</v>
      </c>
      <c r="W325">
        <v>0</v>
      </c>
      <c r="X325">
        <v>0</v>
      </c>
      <c r="Y325">
        <v>0</v>
      </c>
      <c r="Z325">
        <v>0</v>
      </c>
      <c r="AA325">
        <v>0</v>
      </c>
      <c r="AB325">
        <v>0</v>
      </c>
      <c r="AC325">
        <v>0</v>
      </c>
    </row>
    <row r="326" spans="1:29">
      <c r="A326" t="s">
        <v>1598</v>
      </c>
      <c r="B326">
        <v>0.66959504999999997</v>
      </c>
      <c r="C326">
        <v>0.62861798199999996</v>
      </c>
      <c r="D326">
        <v>0.81708329400000002</v>
      </c>
      <c r="E326">
        <v>1.127773044</v>
      </c>
      <c r="F326">
        <v>0.79176443500000004</v>
      </c>
      <c r="G326">
        <v>0</v>
      </c>
      <c r="H326">
        <v>0.327694282</v>
      </c>
      <c r="I326">
        <v>0.72313348499999996</v>
      </c>
      <c r="J326">
        <v>0.65248024599999999</v>
      </c>
      <c r="K326">
        <v>1.794472939</v>
      </c>
      <c r="L326">
        <v>1.3752095209999999</v>
      </c>
      <c r="M326">
        <v>0.52970061599999996</v>
      </c>
      <c r="N326">
        <v>0.56665180299999995</v>
      </c>
      <c r="O326">
        <v>0.67933047300000005</v>
      </c>
      <c r="P326">
        <v>0.63717112499999995</v>
      </c>
      <c r="Q326">
        <v>0.36909679200000001</v>
      </c>
      <c r="R326">
        <v>0.32700478399999999</v>
      </c>
      <c r="S326">
        <v>1.4456291029999999</v>
      </c>
      <c r="T326">
        <v>0.70365495499999997</v>
      </c>
      <c r="U326">
        <v>0.84650296000000003</v>
      </c>
      <c r="V326">
        <v>0</v>
      </c>
      <c r="W326">
        <v>0</v>
      </c>
      <c r="X326">
        <v>0</v>
      </c>
      <c r="Y326">
        <v>7.9227722E-2</v>
      </c>
      <c r="Z326">
        <v>0</v>
      </c>
      <c r="AA326">
        <v>0.57449528699999997</v>
      </c>
      <c r="AB326">
        <v>0</v>
      </c>
      <c r="AC326">
        <v>0</v>
      </c>
    </row>
    <row r="327" spans="1:29">
      <c r="A327" t="s">
        <v>1599</v>
      </c>
      <c r="B327">
        <v>0.23968024600000001</v>
      </c>
      <c r="C327">
        <v>0.74072084900000001</v>
      </c>
      <c r="D327">
        <v>0.56932465300000001</v>
      </c>
      <c r="E327">
        <v>0</v>
      </c>
      <c r="F327">
        <v>0</v>
      </c>
      <c r="G327">
        <v>0</v>
      </c>
      <c r="H327">
        <v>0.36956957800000001</v>
      </c>
      <c r="I327">
        <v>0.75782008099999998</v>
      </c>
      <c r="J327">
        <v>6.4458489999999993E-2</v>
      </c>
      <c r="K327">
        <v>0.59400054599999996</v>
      </c>
      <c r="L327">
        <v>0</v>
      </c>
      <c r="M327">
        <v>0.62794677600000004</v>
      </c>
      <c r="N327">
        <v>0.569639652</v>
      </c>
      <c r="O327">
        <v>0</v>
      </c>
      <c r="P327">
        <v>0.87212230199999996</v>
      </c>
      <c r="Q327">
        <v>0.47753382</v>
      </c>
      <c r="R327">
        <v>0.423075592</v>
      </c>
      <c r="S327">
        <v>1.870340796</v>
      </c>
      <c r="T327">
        <v>0.53302665699999996</v>
      </c>
      <c r="U327">
        <v>0.66738662000000004</v>
      </c>
      <c r="V327">
        <v>0</v>
      </c>
      <c r="W327">
        <v>0</v>
      </c>
      <c r="X327">
        <v>0</v>
      </c>
      <c r="Y327">
        <v>0</v>
      </c>
      <c r="Z327">
        <v>0</v>
      </c>
      <c r="AA327">
        <v>0.48472052900000001</v>
      </c>
      <c r="AB327">
        <v>0</v>
      </c>
      <c r="AC327">
        <v>0</v>
      </c>
    </row>
    <row r="328" spans="1:29">
      <c r="A328" t="s">
        <v>1600</v>
      </c>
      <c r="B328">
        <v>0</v>
      </c>
      <c r="C328">
        <v>1.379170746</v>
      </c>
      <c r="D328">
        <v>0</v>
      </c>
      <c r="E328">
        <v>0</v>
      </c>
      <c r="F328">
        <v>0</v>
      </c>
      <c r="G328">
        <v>0</v>
      </c>
      <c r="H328">
        <v>0.74693716200000004</v>
      </c>
      <c r="I328">
        <v>1.2607277969999999</v>
      </c>
      <c r="J328">
        <v>0</v>
      </c>
      <c r="K328">
        <v>1.471670008</v>
      </c>
      <c r="L328">
        <v>2.0530460650000002</v>
      </c>
      <c r="M328">
        <v>1.1259329950000001</v>
      </c>
      <c r="N328">
        <v>1.036906176</v>
      </c>
      <c r="O328">
        <v>0</v>
      </c>
      <c r="P328">
        <v>0</v>
      </c>
      <c r="Q328">
        <v>1.1497492170000001</v>
      </c>
      <c r="R328">
        <v>1.018631163</v>
      </c>
      <c r="S328">
        <v>4.5031844310000002</v>
      </c>
      <c r="T328">
        <v>1.1077533589999999</v>
      </c>
      <c r="U328">
        <v>0</v>
      </c>
      <c r="V328">
        <v>0.82554865899999996</v>
      </c>
      <c r="W328">
        <v>0.80331534500000001</v>
      </c>
      <c r="X328">
        <v>2.2280686780000001</v>
      </c>
      <c r="Y328">
        <v>0</v>
      </c>
      <c r="Z328">
        <v>2.2660559669999998</v>
      </c>
      <c r="AA328">
        <v>0</v>
      </c>
      <c r="AB328">
        <v>1.59228711</v>
      </c>
      <c r="AC328">
        <v>0</v>
      </c>
    </row>
    <row r="329" spans="1:29">
      <c r="A329" t="s">
        <v>1601</v>
      </c>
      <c r="B329">
        <v>0</v>
      </c>
      <c r="C329">
        <v>0.66874400199999995</v>
      </c>
      <c r="D329">
        <v>0.71959910800000004</v>
      </c>
      <c r="E329">
        <v>1.1617266180000001</v>
      </c>
      <c r="F329">
        <v>0.50666348400000005</v>
      </c>
      <c r="G329">
        <v>0</v>
      </c>
      <c r="H329">
        <v>0</v>
      </c>
      <c r="I329">
        <v>1.0974675089999999</v>
      </c>
      <c r="J329">
        <v>0</v>
      </c>
      <c r="K329">
        <v>1.5463319499999999</v>
      </c>
      <c r="L329">
        <v>1.376841843</v>
      </c>
      <c r="M329">
        <v>0.58529347499999995</v>
      </c>
      <c r="N329">
        <v>0.64815089000000004</v>
      </c>
      <c r="O329">
        <v>0</v>
      </c>
      <c r="P329">
        <v>0</v>
      </c>
      <c r="Q329">
        <v>0.41391806599999997</v>
      </c>
      <c r="R329">
        <v>0.36671461500000002</v>
      </c>
      <c r="S329">
        <v>1.6211790939999999</v>
      </c>
      <c r="T329">
        <v>0.47416817</v>
      </c>
      <c r="U329">
        <v>0.94730771400000002</v>
      </c>
      <c r="V329">
        <v>0</v>
      </c>
      <c r="W329">
        <v>0</v>
      </c>
      <c r="X329">
        <v>0</v>
      </c>
      <c r="Y329">
        <v>0</v>
      </c>
      <c r="Z329">
        <v>0</v>
      </c>
      <c r="AA329">
        <v>0.52434505300000001</v>
      </c>
      <c r="AB329">
        <v>0</v>
      </c>
      <c r="AC329">
        <v>0</v>
      </c>
    </row>
    <row r="330" spans="1:29">
      <c r="A330" t="s">
        <v>1602</v>
      </c>
      <c r="B330">
        <v>0</v>
      </c>
      <c r="C330">
        <v>0</v>
      </c>
      <c r="D330">
        <v>0</v>
      </c>
      <c r="E330">
        <v>0</v>
      </c>
      <c r="F330">
        <v>0</v>
      </c>
      <c r="G330">
        <v>0</v>
      </c>
      <c r="H330">
        <v>0</v>
      </c>
      <c r="I330">
        <v>0</v>
      </c>
      <c r="J330">
        <v>0</v>
      </c>
      <c r="K330">
        <v>0</v>
      </c>
      <c r="L330">
        <v>0</v>
      </c>
      <c r="M330">
        <v>0.49602617999999998</v>
      </c>
      <c r="N330">
        <v>0.55103911900000002</v>
      </c>
      <c r="O330">
        <v>0</v>
      </c>
      <c r="P330">
        <v>0.69594675800000005</v>
      </c>
      <c r="Q330">
        <v>0</v>
      </c>
      <c r="R330">
        <v>0</v>
      </c>
      <c r="S330">
        <v>0</v>
      </c>
      <c r="T330">
        <v>0</v>
      </c>
      <c r="U330">
        <v>0</v>
      </c>
      <c r="V330">
        <v>0</v>
      </c>
      <c r="W330">
        <v>0</v>
      </c>
      <c r="X330">
        <v>0</v>
      </c>
      <c r="Y330">
        <v>0</v>
      </c>
      <c r="Z330">
        <v>0</v>
      </c>
      <c r="AA330">
        <v>0</v>
      </c>
      <c r="AB330">
        <v>0</v>
      </c>
      <c r="AC330">
        <v>0</v>
      </c>
    </row>
    <row r="331" spans="1:29">
      <c r="A331" t="s">
        <v>1603</v>
      </c>
      <c r="B331">
        <v>0.25897500400000001</v>
      </c>
      <c r="C331">
        <v>2.311319718</v>
      </c>
      <c r="D331">
        <v>2.1842012369999999</v>
      </c>
      <c r="E331">
        <v>0</v>
      </c>
      <c r="F331">
        <v>1.7281941999999999</v>
      </c>
      <c r="G331">
        <v>0</v>
      </c>
      <c r="H331">
        <v>5.40823754</v>
      </c>
      <c r="I331">
        <v>1.414085373</v>
      </c>
      <c r="J331">
        <v>0.107749265</v>
      </c>
      <c r="K331">
        <v>2.2569717800000002</v>
      </c>
      <c r="L331">
        <v>1.7127210129999999</v>
      </c>
      <c r="M331">
        <v>1.734061063</v>
      </c>
      <c r="N331">
        <v>1.843439206</v>
      </c>
      <c r="O331">
        <v>0.172787675</v>
      </c>
      <c r="P331">
        <v>1.7865900020000001</v>
      </c>
      <c r="Q331">
        <v>1.0911587810000001</v>
      </c>
      <c r="R331">
        <v>0.96672241400000003</v>
      </c>
      <c r="S331">
        <v>4.2737052249999996</v>
      </c>
      <c r="T331">
        <v>2.7851030360000002</v>
      </c>
      <c r="U331">
        <v>0</v>
      </c>
      <c r="V331">
        <v>0.99841036699999997</v>
      </c>
      <c r="W331">
        <v>0.97152161599999998</v>
      </c>
      <c r="X331">
        <v>2.6946041759999999</v>
      </c>
      <c r="Y331">
        <v>0.175684066</v>
      </c>
      <c r="Z331">
        <v>0</v>
      </c>
      <c r="AA331">
        <v>0</v>
      </c>
      <c r="AB331">
        <v>0</v>
      </c>
      <c r="AC331">
        <v>0.39202961400000003</v>
      </c>
    </row>
    <row r="332" spans="1:29">
      <c r="A332" t="s">
        <v>1604</v>
      </c>
      <c r="B332">
        <v>0.28718130400000003</v>
      </c>
      <c r="C332">
        <v>0.928337627</v>
      </c>
      <c r="D332">
        <v>0.78525340600000004</v>
      </c>
      <c r="E332">
        <v>1.2922582760000001</v>
      </c>
      <c r="F332">
        <v>0</v>
      </c>
      <c r="G332">
        <v>0.28827311100000003</v>
      </c>
      <c r="H332">
        <v>0.65826829399999998</v>
      </c>
      <c r="I332">
        <v>1.3122928970000001</v>
      </c>
      <c r="J332">
        <v>0.23199784100000001</v>
      </c>
      <c r="K332">
        <v>0.83166267900000002</v>
      </c>
      <c r="L332">
        <v>0</v>
      </c>
      <c r="M332">
        <v>0.66551711700000005</v>
      </c>
      <c r="N332">
        <v>0.66219315199999995</v>
      </c>
      <c r="O332">
        <v>0.27252651999999999</v>
      </c>
      <c r="P332">
        <v>0.865868215</v>
      </c>
      <c r="Q332">
        <v>0.69246629599999998</v>
      </c>
      <c r="R332">
        <v>0.61349704599999999</v>
      </c>
      <c r="S332">
        <v>2.712159658</v>
      </c>
      <c r="T332">
        <v>0.82610474</v>
      </c>
      <c r="U332">
        <v>0</v>
      </c>
      <c r="V332">
        <v>0.52893635000000006</v>
      </c>
      <c r="W332">
        <v>0.51469126799999998</v>
      </c>
      <c r="X332">
        <v>1.4275433689999999</v>
      </c>
      <c r="Y332">
        <v>0.30969249300000001</v>
      </c>
      <c r="Z332">
        <v>0</v>
      </c>
      <c r="AA332">
        <v>0.66158117000000005</v>
      </c>
      <c r="AB332">
        <v>1.362553981</v>
      </c>
      <c r="AC332">
        <v>0.217892905</v>
      </c>
    </row>
    <row r="333" spans="1:29">
      <c r="A333" t="s">
        <v>1605</v>
      </c>
      <c r="B333">
        <v>0.37260089200000002</v>
      </c>
      <c r="C333">
        <v>1.3296408900000001</v>
      </c>
      <c r="D333">
        <v>0.95137508800000004</v>
      </c>
      <c r="E333">
        <v>0</v>
      </c>
      <c r="F333">
        <v>0</v>
      </c>
      <c r="G333">
        <v>0.33572544399999998</v>
      </c>
      <c r="H333">
        <v>0.559094761</v>
      </c>
      <c r="I333">
        <v>0</v>
      </c>
      <c r="J333">
        <v>0.29718481800000002</v>
      </c>
      <c r="K333">
        <v>0</v>
      </c>
      <c r="L333">
        <v>0</v>
      </c>
      <c r="M333">
        <v>0.69160966499999998</v>
      </c>
      <c r="N333">
        <v>0.70725949600000004</v>
      </c>
      <c r="O333">
        <v>0</v>
      </c>
      <c r="P333">
        <v>0</v>
      </c>
      <c r="Q333">
        <v>0.47128346500000001</v>
      </c>
      <c r="R333">
        <v>0.41753803099999998</v>
      </c>
      <c r="S333">
        <v>1.845860238</v>
      </c>
      <c r="T333">
        <v>0.66851723100000005</v>
      </c>
      <c r="U333">
        <v>0.72634580900000001</v>
      </c>
      <c r="V333">
        <v>0.82626745499999998</v>
      </c>
      <c r="W333">
        <v>0.80401478199999998</v>
      </c>
      <c r="X333">
        <v>2.230008631</v>
      </c>
      <c r="Y333">
        <v>0.22285418700000001</v>
      </c>
      <c r="Z333">
        <v>1.966777904</v>
      </c>
      <c r="AA333">
        <v>0</v>
      </c>
      <c r="AB333">
        <v>2.618031808</v>
      </c>
      <c r="AC333">
        <v>0.74927448600000002</v>
      </c>
    </row>
    <row r="334" spans="1:29">
      <c r="A334" t="s">
        <v>1606</v>
      </c>
      <c r="B334">
        <v>0</v>
      </c>
      <c r="C334">
        <v>0</v>
      </c>
      <c r="D334">
        <v>6.2043335989999999</v>
      </c>
      <c r="E334">
        <v>0</v>
      </c>
      <c r="F334">
        <v>0</v>
      </c>
      <c r="G334">
        <v>0</v>
      </c>
      <c r="H334">
        <v>0</v>
      </c>
      <c r="I334">
        <v>2.1498712950000001</v>
      </c>
      <c r="J334">
        <v>0</v>
      </c>
      <c r="K334">
        <v>7.8892205549999996</v>
      </c>
      <c r="L334">
        <v>0</v>
      </c>
      <c r="M334">
        <v>4.0172261139999996</v>
      </c>
      <c r="N334">
        <v>6.3383619549999999</v>
      </c>
      <c r="O334">
        <v>0</v>
      </c>
      <c r="P334">
        <v>0</v>
      </c>
      <c r="Q334">
        <v>7.5224471179999997</v>
      </c>
      <c r="R334">
        <v>6.6645829750000001</v>
      </c>
      <c r="S334">
        <v>29.462917879999999</v>
      </c>
      <c r="T334">
        <v>0</v>
      </c>
      <c r="U334">
        <v>0</v>
      </c>
      <c r="V334">
        <v>0</v>
      </c>
      <c r="W334">
        <v>0</v>
      </c>
      <c r="X334">
        <v>0</v>
      </c>
      <c r="Y334">
        <v>0</v>
      </c>
      <c r="Z334">
        <v>0</v>
      </c>
      <c r="AA334">
        <v>0</v>
      </c>
      <c r="AB334">
        <v>0</v>
      </c>
      <c r="AC334">
        <v>0</v>
      </c>
    </row>
    <row r="335" spans="1:29">
      <c r="A335" t="s">
        <v>1607</v>
      </c>
      <c r="B335">
        <v>0.17883039100000001</v>
      </c>
      <c r="C335">
        <v>0.91732914399999999</v>
      </c>
      <c r="D335">
        <v>0.63510569299999997</v>
      </c>
      <c r="E335">
        <v>0</v>
      </c>
      <c r="F335">
        <v>0</v>
      </c>
      <c r="G335">
        <v>0.46918251300000002</v>
      </c>
      <c r="H335">
        <v>0</v>
      </c>
      <c r="I335">
        <v>0</v>
      </c>
      <c r="J335">
        <v>0.142697511</v>
      </c>
      <c r="K335">
        <v>0</v>
      </c>
      <c r="L335">
        <v>0</v>
      </c>
      <c r="M335">
        <v>0.60109160900000003</v>
      </c>
      <c r="N335">
        <v>0.60403403899999997</v>
      </c>
      <c r="O335">
        <v>0</v>
      </c>
      <c r="P335">
        <v>0</v>
      </c>
      <c r="Q335">
        <v>0.37011079299999999</v>
      </c>
      <c r="R335">
        <v>0.32790314799999998</v>
      </c>
      <c r="S335">
        <v>1.449600607</v>
      </c>
      <c r="T335">
        <v>0.49586466400000001</v>
      </c>
      <c r="U335">
        <v>0</v>
      </c>
      <c r="V335">
        <v>0</v>
      </c>
      <c r="W335">
        <v>0</v>
      </c>
      <c r="X335">
        <v>0</v>
      </c>
      <c r="Y335">
        <v>0</v>
      </c>
      <c r="Z335">
        <v>0</v>
      </c>
      <c r="AA335">
        <v>0</v>
      </c>
      <c r="AB335">
        <v>0</v>
      </c>
      <c r="AC335">
        <v>0</v>
      </c>
    </row>
    <row r="336" spans="1:29">
      <c r="A336" t="s">
        <v>1608</v>
      </c>
      <c r="B336">
        <v>0.79671843499999995</v>
      </c>
      <c r="C336">
        <v>2.330296143</v>
      </c>
      <c r="D336">
        <v>0</v>
      </c>
      <c r="E336">
        <v>2.2072777480000001</v>
      </c>
      <c r="F336">
        <v>0</v>
      </c>
      <c r="G336">
        <v>0</v>
      </c>
      <c r="H336">
        <v>1.0165445909999999</v>
      </c>
      <c r="I336">
        <v>2.2880014790000001</v>
      </c>
      <c r="J336">
        <v>0.44968328800000001</v>
      </c>
      <c r="K336">
        <v>0</v>
      </c>
      <c r="L336">
        <v>6.3713076629999996</v>
      </c>
      <c r="M336">
        <v>1.2499972420000001</v>
      </c>
      <c r="N336">
        <v>2.1913433310000001</v>
      </c>
      <c r="O336">
        <v>0</v>
      </c>
      <c r="P336">
        <v>0</v>
      </c>
      <c r="Q336">
        <v>0.69431974699999999</v>
      </c>
      <c r="R336">
        <v>0.61513912900000001</v>
      </c>
      <c r="S336">
        <v>2.7194190100000002</v>
      </c>
      <c r="T336">
        <v>0</v>
      </c>
      <c r="U336">
        <v>0</v>
      </c>
      <c r="V336">
        <v>0.98729287499999996</v>
      </c>
      <c r="W336">
        <v>0.96070353600000002</v>
      </c>
      <c r="X336">
        <v>2.6645992409999999</v>
      </c>
      <c r="Y336">
        <v>0.23247210300000001</v>
      </c>
      <c r="Z336">
        <v>0</v>
      </c>
      <c r="AA336">
        <v>0</v>
      </c>
      <c r="AB336">
        <v>2.0354646430000001</v>
      </c>
      <c r="AC336">
        <v>0</v>
      </c>
    </row>
    <row r="337" spans="1:29">
      <c r="A337" t="s">
        <v>1609</v>
      </c>
      <c r="B337">
        <v>0</v>
      </c>
      <c r="C337">
        <v>4.2869288640000001</v>
      </c>
      <c r="D337">
        <v>0</v>
      </c>
      <c r="E337">
        <v>0</v>
      </c>
      <c r="F337">
        <v>0</v>
      </c>
      <c r="G337">
        <v>0</v>
      </c>
      <c r="H337">
        <v>1.3957315990000001</v>
      </c>
      <c r="I337">
        <v>0</v>
      </c>
      <c r="J337">
        <v>0</v>
      </c>
      <c r="K337">
        <v>0</v>
      </c>
      <c r="L337">
        <v>0</v>
      </c>
      <c r="M337">
        <v>2.5388686649999999</v>
      </c>
      <c r="N337">
        <v>0</v>
      </c>
      <c r="O337">
        <v>0</v>
      </c>
      <c r="P337">
        <v>7.5419526250000004</v>
      </c>
      <c r="Q337">
        <v>2.8793262419999999</v>
      </c>
      <c r="R337">
        <v>2.5509662409999998</v>
      </c>
      <c r="S337">
        <v>11.277361109999999</v>
      </c>
      <c r="T337">
        <v>0</v>
      </c>
      <c r="U337">
        <v>0</v>
      </c>
      <c r="V337">
        <v>1.730178175</v>
      </c>
      <c r="W337">
        <v>1.6835817749999999</v>
      </c>
      <c r="X337">
        <v>4.6695682380000001</v>
      </c>
      <c r="Y337">
        <v>0</v>
      </c>
      <c r="Z337">
        <v>0</v>
      </c>
      <c r="AA337">
        <v>0</v>
      </c>
      <c r="AB337">
        <v>2.6923797920000001</v>
      </c>
      <c r="AC337">
        <v>0</v>
      </c>
    </row>
    <row r="338" spans="1:29">
      <c r="A338" t="s">
        <v>1610</v>
      </c>
      <c r="B338">
        <v>1.6369987429999999</v>
      </c>
      <c r="C338">
        <v>3.358457617</v>
      </c>
      <c r="D338">
        <v>5.3206550750000003</v>
      </c>
      <c r="E338">
        <v>9.6260494219999995</v>
      </c>
      <c r="F338">
        <v>4.2120485929999996</v>
      </c>
      <c r="G338">
        <v>0.23261738200000001</v>
      </c>
      <c r="H338">
        <v>0.35458862000000002</v>
      </c>
      <c r="I338">
        <v>7.3257120100000002</v>
      </c>
      <c r="J338">
        <v>0.36272716300000002</v>
      </c>
      <c r="K338">
        <v>4.6559037180000002</v>
      </c>
      <c r="L338">
        <v>0</v>
      </c>
      <c r="M338">
        <v>0.83827387399999997</v>
      </c>
      <c r="N338">
        <v>0.80637598399999999</v>
      </c>
      <c r="O338">
        <v>0.27927945799999998</v>
      </c>
      <c r="P338">
        <v>4.2727582999999996</v>
      </c>
      <c r="Q338">
        <v>0</v>
      </c>
      <c r="R338">
        <v>0</v>
      </c>
      <c r="S338">
        <v>0</v>
      </c>
      <c r="T338">
        <v>1.116626039</v>
      </c>
      <c r="U338">
        <v>0</v>
      </c>
      <c r="V338">
        <v>0.407950168</v>
      </c>
      <c r="W338">
        <v>0.396963432</v>
      </c>
      <c r="X338">
        <v>1.101014435</v>
      </c>
      <c r="Y338">
        <v>0</v>
      </c>
      <c r="Z338">
        <v>0</v>
      </c>
      <c r="AA338">
        <v>0</v>
      </c>
      <c r="AB338">
        <v>0.87340810800000002</v>
      </c>
      <c r="AC338">
        <v>0</v>
      </c>
    </row>
    <row r="339" spans="1:29">
      <c r="A339" t="s">
        <v>1611</v>
      </c>
      <c r="B339">
        <v>0.27213558399999999</v>
      </c>
      <c r="C339">
        <v>0.84586578499999998</v>
      </c>
      <c r="D339">
        <v>0.70707029899999996</v>
      </c>
      <c r="E339">
        <v>0.962653337</v>
      </c>
      <c r="F339">
        <v>0.711868681</v>
      </c>
      <c r="G339">
        <v>0</v>
      </c>
      <c r="H339">
        <v>0.50146189799999996</v>
      </c>
      <c r="I339">
        <v>0.88965294100000003</v>
      </c>
      <c r="J339">
        <v>0.212154282</v>
      </c>
      <c r="K339">
        <v>1.148147566</v>
      </c>
      <c r="L339">
        <v>0.99438166900000002</v>
      </c>
      <c r="M339">
        <v>0.62874825599999995</v>
      </c>
      <c r="N339">
        <v>0.63282871600000001</v>
      </c>
      <c r="O339">
        <v>0.25364772899999999</v>
      </c>
      <c r="P339">
        <v>0.79109326499999999</v>
      </c>
      <c r="Q339">
        <v>0.51309777700000003</v>
      </c>
      <c r="R339">
        <v>0.454583815</v>
      </c>
      <c r="S339">
        <v>2.009632962</v>
      </c>
      <c r="T339">
        <v>0.64231706799999999</v>
      </c>
      <c r="U339">
        <v>0.69425457599999996</v>
      </c>
      <c r="V339">
        <v>0.54775188799999996</v>
      </c>
      <c r="W339">
        <v>0.53300007500000002</v>
      </c>
      <c r="X339">
        <v>1.4783245199999999</v>
      </c>
      <c r="Y339">
        <v>0.150043335</v>
      </c>
      <c r="Z339">
        <v>0</v>
      </c>
      <c r="AA339">
        <v>0.53760228899999996</v>
      </c>
      <c r="AB339">
        <v>0</v>
      </c>
      <c r="AC339">
        <v>0</v>
      </c>
    </row>
    <row r="340" spans="1:29">
      <c r="A340" t="s">
        <v>1612</v>
      </c>
      <c r="B340">
        <v>0.175507408</v>
      </c>
      <c r="C340">
        <v>0</v>
      </c>
      <c r="D340">
        <v>1.3181253850000001</v>
      </c>
      <c r="E340">
        <v>0</v>
      </c>
      <c r="F340">
        <v>716.92570390000003</v>
      </c>
      <c r="G340">
        <v>0</v>
      </c>
      <c r="H340">
        <v>0.41357983599999998</v>
      </c>
      <c r="I340">
        <v>1.208647096</v>
      </c>
      <c r="J340">
        <v>0.11293508200000001</v>
      </c>
      <c r="K340">
        <v>0</v>
      </c>
      <c r="L340">
        <v>0.34741854799999999</v>
      </c>
      <c r="M340">
        <v>0.83119711900000004</v>
      </c>
      <c r="N340">
        <v>0.72709410200000002</v>
      </c>
      <c r="O340">
        <v>0.13778205700000001</v>
      </c>
      <c r="P340">
        <v>1.2541807309999999</v>
      </c>
      <c r="Q340">
        <v>0</v>
      </c>
      <c r="R340">
        <v>0</v>
      </c>
      <c r="S340">
        <v>0</v>
      </c>
      <c r="T340">
        <v>1.608367015</v>
      </c>
      <c r="U340">
        <v>0</v>
      </c>
      <c r="V340">
        <v>0</v>
      </c>
      <c r="W340">
        <v>0</v>
      </c>
      <c r="X340">
        <v>0</v>
      </c>
      <c r="Y340">
        <v>0.11577778399999999</v>
      </c>
      <c r="Z340">
        <v>0</v>
      </c>
      <c r="AA340">
        <v>1.164581708</v>
      </c>
      <c r="AB340">
        <v>0</v>
      </c>
      <c r="AC340">
        <v>0</v>
      </c>
    </row>
    <row r="341" spans="1:29">
      <c r="A341" t="s">
        <v>1613</v>
      </c>
      <c r="B341">
        <v>0.23513837000000001</v>
      </c>
      <c r="C341">
        <v>0.523834358</v>
      </c>
      <c r="D341">
        <v>0.55951481999999997</v>
      </c>
      <c r="E341">
        <v>0.80627126999999998</v>
      </c>
      <c r="F341">
        <v>0.46980139799999998</v>
      </c>
      <c r="G341">
        <v>0.16295875000000001</v>
      </c>
      <c r="H341">
        <v>0.377512399</v>
      </c>
      <c r="I341">
        <v>0.76278290299999996</v>
      </c>
      <c r="J341">
        <v>0.17415086900000001</v>
      </c>
      <c r="K341">
        <v>0.58420446999999998</v>
      </c>
      <c r="L341">
        <v>0.89111188299999999</v>
      </c>
      <c r="M341">
        <v>0.52553653300000003</v>
      </c>
      <c r="N341">
        <v>0.52148498700000001</v>
      </c>
      <c r="O341">
        <v>0.26012518099999998</v>
      </c>
      <c r="P341">
        <v>0.61840006999999997</v>
      </c>
      <c r="Q341">
        <v>0.458359036</v>
      </c>
      <c r="R341">
        <v>0.40608751100000001</v>
      </c>
      <c r="S341">
        <v>1.795239558</v>
      </c>
      <c r="T341">
        <v>0.553133031</v>
      </c>
      <c r="U341">
        <v>0.69622442900000003</v>
      </c>
      <c r="V341">
        <v>0.49326331600000001</v>
      </c>
      <c r="W341">
        <v>0.47997896400000001</v>
      </c>
      <c r="X341">
        <v>1.3312656140000001</v>
      </c>
      <c r="Y341">
        <v>0.12822662100000001</v>
      </c>
      <c r="Z341">
        <v>0</v>
      </c>
      <c r="AA341">
        <v>0.50129699000000005</v>
      </c>
      <c r="AB341">
        <v>0</v>
      </c>
      <c r="AC341">
        <v>0</v>
      </c>
    </row>
    <row r="342" spans="1:29">
      <c r="A342" t="s">
        <v>1614</v>
      </c>
      <c r="B342">
        <v>0.61691398600000003</v>
      </c>
      <c r="C342">
        <v>0.88030066799999995</v>
      </c>
      <c r="D342">
        <v>1.0931001810000001</v>
      </c>
      <c r="E342">
        <v>0</v>
      </c>
      <c r="F342">
        <v>0</v>
      </c>
      <c r="G342">
        <v>0.419209785</v>
      </c>
      <c r="H342">
        <v>0.74578065100000002</v>
      </c>
      <c r="I342">
        <v>1.2236754999999999</v>
      </c>
      <c r="J342">
        <v>1.1127186609999999</v>
      </c>
      <c r="K342">
        <v>0</v>
      </c>
      <c r="L342">
        <v>0</v>
      </c>
      <c r="M342">
        <v>1.001997684</v>
      </c>
      <c r="N342">
        <v>0.95582069599999997</v>
      </c>
      <c r="O342">
        <v>0</v>
      </c>
      <c r="P342">
        <v>0</v>
      </c>
      <c r="Q342">
        <v>0.55856266399999999</v>
      </c>
      <c r="R342">
        <v>0.49486385999999999</v>
      </c>
      <c r="S342">
        <v>2.1877037669999999</v>
      </c>
      <c r="T342">
        <v>0.94054181000000003</v>
      </c>
      <c r="U342">
        <v>0</v>
      </c>
      <c r="V342">
        <v>1.027763282</v>
      </c>
      <c r="W342">
        <v>1.0000840120000001</v>
      </c>
      <c r="X342">
        <v>2.7738245959999999</v>
      </c>
      <c r="Y342">
        <v>0.32849980499999998</v>
      </c>
      <c r="Z342">
        <v>0</v>
      </c>
      <c r="AA342">
        <v>0</v>
      </c>
      <c r="AB342">
        <v>1.130172094</v>
      </c>
      <c r="AC342">
        <v>0.75560866199999999</v>
      </c>
    </row>
    <row r="343" spans="1:29">
      <c r="A343" t="s">
        <v>1615</v>
      </c>
      <c r="B343">
        <v>0.24308242699999999</v>
      </c>
      <c r="C343">
        <v>0.42784150700000001</v>
      </c>
      <c r="D343">
        <v>0.49555211700000001</v>
      </c>
      <c r="E343">
        <v>1.017889295</v>
      </c>
      <c r="F343">
        <v>0</v>
      </c>
      <c r="G343">
        <v>0</v>
      </c>
      <c r="H343">
        <v>0</v>
      </c>
      <c r="I343">
        <v>0</v>
      </c>
      <c r="J343">
        <v>0.36973273000000001</v>
      </c>
      <c r="K343">
        <v>0</v>
      </c>
      <c r="L343">
        <v>0</v>
      </c>
      <c r="M343">
        <v>0.43044921200000003</v>
      </c>
      <c r="N343">
        <v>0.45282637999999997</v>
      </c>
      <c r="O343">
        <v>0</v>
      </c>
      <c r="P343">
        <v>0.47798677000000001</v>
      </c>
      <c r="Q343">
        <v>0.41999715399999998</v>
      </c>
      <c r="R343">
        <v>0.37210043999999998</v>
      </c>
      <c r="S343">
        <v>1.6449888539999999</v>
      </c>
      <c r="T343">
        <v>0.36358939200000001</v>
      </c>
      <c r="U343">
        <v>0.62652010899999999</v>
      </c>
      <c r="V343">
        <v>0</v>
      </c>
      <c r="W343">
        <v>0</v>
      </c>
      <c r="X343">
        <v>0</v>
      </c>
      <c r="Y343">
        <v>9.1395750999999997E-2</v>
      </c>
      <c r="Z343">
        <v>0</v>
      </c>
      <c r="AA343">
        <v>0.37739483800000001</v>
      </c>
      <c r="AB343">
        <v>0</v>
      </c>
      <c r="AC343">
        <v>0</v>
      </c>
    </row>
    <row r="344" spans="1:29">
      <c r="A344" t="s">
        <v>1616</v>
      </c>
      <c r="B344">
        <v>0.44102706899999999</v>
      </c>
      <c r="C344">
        <v>1.477058778</v>
      </c>
      <c r="D344">
        <v>0.85271366299999996</v>
      </c>
      <c r="E344">
        <v>1.129430887</v>
      </c>
      <c r="F344">
        <v>0</v>
      </c>
      <c r="G344">
        <v>0</v>
      </c>
      <c r="H344">
        <v>0.494204853</v>
      </c>
      <c r="I344">
        <v>2.1704449989999999</v>
      </c>
      <c r="J344">
        <v>0.32163005300000003</v>
      </c>
      <c r="K344">
        <v>1.139314234</v>
      </c>
      <c r="L344">
        <v>0</v>
      </c>
      <c r="M344">
        <v>0.66784509299999995</v>
      </c>
      <c r="N344">
        <v>0.69730747500000001</v>
      </c>
      <c r="O344">
        <v>0.38297899699999999</v>
      </c>
      <c r="P344">
        <v>0</v>
      </c>
      <c r="Q344">
        <v>0.45485558999999998</v>
      </c>
      <c r="R344">
        <v>0.4029836</v>
      </c>
      <c r="S344">
        <v>1.7815177259999999</v>
      </c>
      <c r="T344">
        <v>0.76376254700000001</v>
      </c>
      <c r="U344">
        <v>0</v>
      </c>
      <c r="V344">
        <v>0.65941353000000003</v>
      </c>
      <c r="W344">
        <v>0.64165449399999996</v>
      </c>
      <c r="X344">
        <v>1.7796875029999999</v>
      </c>
      <c r="Y344">
        <v>0.26575643199999999</v>
      </c>
      <c r="Z344">
        <v>0</v>
      </c>
      <c r="AA344">
        <v>0.61548670800000005</v>
      </c>
      <c r="AB344">
        <v>0</v>
      </c>
      <c r="AC344">
        <v>0</v>
      </c>
    </row>
    <row r="345" spans="1:29">
      <c r="A345" t="s">
        <v>1617</v>
      </c>
      <c r="B345">
        <v>0.37340189800000001</v>
      </c>
      <c r="C345">
        <v>0.71598852000000002</v>
      </c>
      <c r="D345">
        <v>0.74265103499999996</v>
      </c>
      <c r="E345">
        <v>1.0792906289999999</v>
      </c>
      <c r="F345">
        <v>0.86838093699999996</v>
      </c>
      <c r="G345">
        <v>0</v>
      </c>
      <c r="H345">
        <v>0.44675368700000001</v>
      </c>
      <c r="I345">
        <v>1.8920698069999999</v>
      </c>
      <c r="J345">
        <v>0.28008733400000002</v>
      </c>
      <c r="K345">
        <v>0</v>
      </c>
      <c r="L345">
        <v>0</v>
      </c>
      <c r="M345">
        <v>0.62304660300000003</v>
      </c>
      <c r="N345">
        <v>0.62274447499999996</v>
      </c>
      <c r="O345">
        <v>0.37089381399999999</v>
      </c>
      <c r="P345">
        <v>0.70171673300000004</v>
      </c>
      <c r="Q345">
        <v>0.49303636499999998</v>
      </c>
      <c r="R345">
        <v>0.43681021799999997</v>
      </c>
      <c r="S345">
        <v>1.931059098</v>
      </c>
      <c r="T345">
        <v>0.65474357100000002</v>
      </c>
      <c r="U345">
        <v>0.84978411200000004</v>
      </c>
      <c r="V345">
        <v>0.57533011599999995</v>
      </c>
      <c r="W345">
        <v>0.55983557799999994</v>
      </c>
      <c r="X345">
        <v>1.552755245</v>
      </c>
      <c r="Y345">
        <v>0.210307308</v>
      </c>
      <c r="Z345">
        <v>0</v>
      </c>
      <c r="AA345">
        <v>0.59824443599999999</v>
      </c>
      <c r="AB345">
        <v>0</v>
      </c>
      <c r="AC345">
        <v>0</v>
      </c>
    </row>
    <row r="346" spans="1:29">
      <c r="A346" t="s">
        <v>1618</v>
      </c>
      <c r="B346">
        <v>0</v>
      </c>
      <c r="C346">
        <v>0</v>
      </c>
      <c r="D346">
        <v>0</v>
      </c>
      <c r="E346">
        <v>0</v>
      </c>
      <c r="F346">
        <v>0</v>
      </c>
      <c r="G346">
        <v>0</v>
      </c>
      <c r="H346">
        <v>0.84901444100000001</v>
      </c>
      <c r="I346">
        <v>0.661417429</v>
      </c>
      <c r="J346">
        <v>0</v>
      </c>
      <c r="K346">
        <v>0</v>
      </c>
      <c r="L346">
        <v>0</v>
      </c>
      <c r="M346">
        <v>0.64700425699999997</v>
      </c>
      <c r="N346">
        <v>0.98947812899999998</v>
      </c>
      <c r="O346">
        <v>0</v>
      </c>
      <c r="P346">
        <v>0</v>
      </c>
      <c r="Q346">
        <v>0</v>
      </c>
      <c r="R346">
        <v>0</v>
      </c>
      <c r="S346">
        <v>0</v>
      </c>
      <c r="T346">
        <v>0</v>
      </c>
      <c r="U346">
        <v>0</v>
      </c>
      <c r="V346">
        <v>0</v>
      </c>
      <c r="W346">
        <v>0</v>
      </c>
      <c r="X346">
        <v>0</v>
      </c>
      <c r="Y346">
        <v>0</v>
      </c>
      <c r="Z346">
        <v>0</v>
      </c>
      <c r="AA346">
        <v>0</v>
      </c>
      <c r="AB346">
        <v>0</v>
      </c>
      <c r="AC346">
        <v>0</v>
      </c>
    </row>
    <row r="347" spans="1:29">
      <c r="A347" t="s">
        <v>1619</v>
      </c>
      <c r="B347">
        <v>0.48939727999999999</v>
      </c>
      <c r="C347">
        <v>0.795377365</v>
      </c>
      <c r="D347">
        <v>0.76726985299999995</v>
      </c>
      <c r="E347">
        <v>1.6631499219999999</v>
      </c>
      <c r="F347">
        <v>0.84506627199999995</v>
      </c>
      <c r="G347">
        <v>0</v>
      </c>
      <c r="H347">
        <v>0.42195972300000001</v>
      </c>
      <c r="I347">
        <v>1.057244597</v>
      </c>
      <c r="J347">
        <v>0.96860785000000005</v>
      </c>
      <c r="K347">
        <v>1.6341621900000001</v>
      </c>
      <c r="L347">
        <v>2.5863947930000002</v>
      </c>
      <c r="M347">
        <v>0.63960303500000004</v>
      </c>
      <c r="N347">
        <v>0.56957551299999998</v>
      </c>
      <c r="O347">
        <v>0</v>
      </c>
      <c r="P347">
        <v>1.281602785</v>
      </c>
      <c r="Q347">
        <v>0.463502207</v>
      </c>
      <c r="R347">
        <v>0.41064415199999998</v>
      </c>
      <c r="S347">
        <v>1.8153836430000001</v>
      </c>
      <c r="T347">
        <v>0.60303815100000002</v>
      </c>
      <c r="U347">
        <v>0</v>
      </c>
      <c r="V347">
        <v>0.62525726500000001</v>
      </c>
      <c r="W347">
        <v>0.60841811000000001</v>
      </c>
      <c r="X347">
        <v>1.6875033479999999</v>
      </c>
      <c r="Y347">
        <v>0.186324721</v>
      </c>
      <c r="Z347">
        <v>0</v>
      </c>
      <c r="AA347">
        <v>0.59902042300000002</v>
      </c>
      <c r="AB347">
        <v>0</v>
      </c>
      <c r="AC347">
        <v>0</v>
      </c>
    </row>
    <row r="348" spans="1:29">
      <c r="A348" t="s">
        <v>1620</v>
      </c>
      <c r="B348">
        <v>0.51630859600000001</v>
      </c>
      <c r="C348">
        <v>0.90458880799999997</v>
      </c>
      <c r="D348">
        <v>0.86475406300000002</v>
      </c>
      <c r="E348">
        <v>0</v>
      </c>
      <c r="F348">
        <v>0</v>
      </c>
      <c r="G348">
        <v>0</v>
      </c>
      <c r="H348">
        <v>0.47141955400000002</v>
      </c>
      <c r="I348">
        <v>1.0210406089999999</v>
      </c>
      <c r="J348">
        <v>0.47981549099999998</v>
      </c>
      <c r="K348">
        <v>2.2853093269999998</v>
      </c>
      <c r="L348">
        <v>0</v>
      </c>
      <c r="M348">
        <v>0.75035629800000003</v>
      </c>
      <c r="N348">
        <v>0.66898531100000003</v>
      </c>
      <c r="O348">
        <v>0</v>
      </c>
      <c r="P348">
        <v>0</v>
      </c>
      <c r="Q348">
        <v>0.58507405300000004</v>
      </c>
      <c r="R348">
        <v>0.51835187599999999</v>
      </c>
      <c r="S348">
        <v>2.2915400419999998</v>
      </c>
      <c r="T348">
        <v>0.765990175</v>
      </c>
      <c r="U348">
        <v>0</v>
      </c>
      <c r="V348">
        <v>0.66169456699999996</v>
      </c>
      <c r="W348">
        <v>0.64387409900000003</v>
      </c>
      <c r="X348">
        <v>1.7858437819999999</v>
      </c>
      <c r="Y348">
        <v>0.22354264800000001</v>
      </c>
      <c r="Z348">
        <v>0</v>
      </c>
      <c r="AA348">
        <v>0.66428238799999995</v>
      </c>
      <c r="AB348">
        <v>0</v>
      </c>
      <c r="AC348">
        <v>0</v>
      </c>
    </row>
    <row r="349" spans="1:29">
      <c r="A349" t="s">
        <v>1621</v>
      </c>
      <c r="B349">
        <v>0.71256597499999996</v>
      </c>
      <c r="C349">
        <v>0.61865362099999999</v>
      </c>
      <c r="D349">
        <v>0.46306061399999998</v>
      </c>
      <c r="E349">
        <v>0</v>
      </c>
      <c r="F349">
        <v>0</v>
      </c>
      <c r="G349">
        <v>0</v>
      </c>
      <c r="H349">
        <v>0</v>
      </c>
      <c r="I349">
        <v>0</v>
      </c>
      <c r="J349">
        <v>0.65222127299999999</v>
      </c>
      <c r="K349">
        <v>1.8406147070000001</v>
      </c>
      <c r="L349">
        <v>0</v>
      </c>
      <c r="M349">
        <v>0.52211154699999995</v>
      </c>
      <c r="N349">
        <v>0.46926504400000002</v>
      </c>
      <c r="O349">
        <v>0</v>
      </c>
      <c r="P349">
        <v>0</v>
      </c>
      <c r="Q349">
        <v>0.58897993699999995</v>
      </c>
      <c r="R349">
        <v>0.52181233000000005</v>
      </c>
      <c r="S349">
        <v>2.306838087</v>
      </c>
      <c r="T349">
        <v>0.39846210900000001</v>
      </c>
      <c r="U349">
        <v>0.54956307999999998</v>
      </c>
      <c r="V349">
        <v>0</v>
      </c>
      <c r="W349">
        <v>0</v>
      </c>
      <c r="X349">
        <v>0</v>
      </c>
      <c r="Y349">
        <v>7.0872675999999996E-2</v>
      </c>
      <c r="Z349">
        <v>0</v>
      </c>
      <c r="AA349">
        <v>0</v>
      </c>
      <c r="AB349">
        <v>0</v>
      </c>
      <c r="AC349">
        <v>0</v>
      </c>
    </row>
    <row r="350" spans="1:29">
      <c r="A350" t="s">
        <v>1622</v>
      </c>
      <c r="B350">
        <v>0.34747594700000001</v>
      </c>
      <c r="C350">
        <v>0.60252237399999997</v>
      </c>
      <c r="D350">
        <v>0.55159411899999999</v>
      </c>
      <c r="E350">
        <v>1.2198918750000001</v>
      </c>
      <c r="F350">
        <v>0</v>
      </c>
      <c r="G350">
        <v>0</v>
      </c>
      <c r="H350">
        <v>0</v>
      </c>
      <c r="I350">
        <v>0.673234581</v>
      </c>
      <c r="J350">
        <v>0.263051337</v>
      </c>
      <c r="K350">
        <v>0</v>
      </c>
      <c r="L350">
        <v>0</v>
      </c>
      <c r="M350">
        <v>0.55699752700000005</v>
      </c>
      <c r="N350">
        <v>0.55134355300000004</v>
      </c>
      <c r="O350">
        <v>0.29119952799999999</v>
      </c>
      <c r="P350">
        <v>0.60670710299999997</v>
      </c>
      <c r="Q350">
        <v>0.52667715999999998</v>
      </c>
      <c r="R350">
        <v>0.46661459700000002</v>
      </c>
      <c r="S350">
        <v>2.0628188770000002</v>
      </c>
      <c r="T350">
        <v>0.87574593000000001</v>
      </c>
      <c r="U350">
        <v>0.69337976300000004</v>
      </c>
      <c r="V350">
        <v>0</v>
      </c>
      <c r="W350">
        <v>0</v>
      </c>
      <c r="X350">
        <v>0</v>
      </c>
      <c r="Y350">
        <v>0.10831876999999999</v>
      </c>
      <c r="Z350">
        <v>0</v>
      </c>
      <c r="AA350">
        <v>0.64888755799999998</v>
      </c>
      <c r="AB350">
        <v>0</v>
      </c>
      <c r="AC350">
        <v>0</v>
      </c>
    </row>
    <row r="351" spans="1:29">
      <c r="A351" t="s">
        <v>2498</v>
      </c>
      <c r="B351">
        <v>0.50610170499999996</v>
      </c>
      <c r="C351">
        <v>0.90632357399999997</v>
      </c>
      <c r="D351">
        <v>0.76249746200000001</v>
      </c>
      <c r="E351">
        <v>1.2124904480000001</v>
      </c>
      <c r="F351">
        <v>0.850186161</v>
      </c>
      <c r="G351">
        <v>1.543227873</v>
      </c>
      <c r="H351">
        <v>0.52084409200000004</v>
      </c>
      <c r="I351">
        <v>0</v>
      </c>
      <c r="J351">
        <v>0.43197426700000002</v>
      </c>
      <c r="K351">
        <v>0.98219592300000003</v>
      </c>
      <c r="L351">
        <v>2.0468493890000001</v>
      </c>
      <c r="M351">
        <v>0.77488040599999997</v>
      </c>
      <c r="N351">
        <v>0.668090454</v>
      </c>
      <c r="O351">
        <v>0.74290062999999995</v>
      </c>
      <c r="P351">
        <v>1.0054508719999999</v>
      </c>
      <c r="Q351">
        <v>0.57284120699999996</v>
      </c>
      <c r="R351">
        <v>0.50751407000000004</v>
      </c>
      <c r="S351">
        <v>2.2436280599999998</v>
      </c>
      <c r="T351">
        <v>0.70480663899999996</v>
      </c>
      <c r="U351">
        <v>0.78446733000000002</v>
      </c>
      <c r="V351">
        <v>0.78046318400000003</v>
      </c>
      <c r="W351">
        <v>0.75944409099999999</v>
      </c>
      <c r="X351">
        <v>2.106387738</v>
      </c>
      <c r="Y351">
        <v>0.26373661599999998</v>
      </c>
      <c r="Z351">
        <v>0</v>
      </c>
      <c r="AA351">
        <v>0.66632709099999998</v>
      </c>
      <c r="AB351">
        <v>0</v>
      </c>
      <c r="AC351">
        <v>0</v>
      </c>
    </row>
    <row r="352" spans="1:29">
      <c r="A352" t="s">
        <v>1624</v>
      </c>
      <c r="B352">
        <v>0.776676802</v>
      </c>
      <c r="C352">
        <v>0.51016272799999995</v>
      </c>
      <c r="D352">
        <v>0.50691418799999999</v>
      </c>
      <c r="E352">
        <v>9.7993248800000003</v>
      </c>
      <c r="F352">
        <v>0</v>
      </c>
      <c r="G352">
        <v>0</v>
      </c>
      <c r="H352">
        <v>0.27914946899999998</v>
      </c>
      <c r="I352">
        <v>0</v>
      </c>
      <c r="J352">
        <v>0</v>
      </c>
      <c r="K352">
        <v>0</v>
      </c>
      <c r="L352">
        <v>0</v>
      </c>
      <c r="M352">
        <v>0.46259707700000002</v>
      </c>
      <c r="N352">
        <v>0.47604917699999999</v>
      </c>
      <c r="O352">
        <v>0</v>
      </c>
      <c r="P352">
        <v>0.53274688999999997</v>
      </c>
      <c r="Q352">
        <v>0.367722308</v>
      </c>
      <c r="R352">
        <v>0.325787047</v>
      </c>
      <c r="S352">
        <v>1.4402457049999999</v>
      </c>
      <c r="T352">
        <v>0.415726665</v>
      </c>
      <c r="U352">
        <v>0.66833427400000001</v>
      </c>
      <c r="V352">
        <v>0</v>
      </c>
      <c r="W352">
        <v>0</v>
      </c>
      <c r="X352">
        <v>0</v>
      </c>
      <c r="Y352">
        <v>7.3370846000000003E-2</v>
      </c>
      <c r="Z352">
        <v>0</v>
      </c>
      <c r="AA352">
        <v>0.39194848199999999</v>
      </c>
      <c r="AB352">
        <v>0</v>
      </c>
      <c r="AC352">
        <v>0</v>
      </c>
    </row>
    <row r="353" spans="1:29">
      <c r="A353" t="s">
        <v>2499</v>
      </c>
      <c r="B353">
        <v>0</v>
      </c>
      <c r="C353">
        <v>1.316584983</v>
      </c>
      <c r="D353">
        <v>1.1560888380000001</v>
      </c>
      <c r="E353">
        <v>0</v>
      </c>
      <c r="F353">
        <v>0</v>
      </c>
      <c r="G353">
        <v>0</v>
      </c>
      <c r="H353">
        <v>0.48301562100000001</v>
      </c>
      <c r="I353">
        <v>0.67210181499999999</v>
      </c>
      <c r="J353">
        <v>0.482082024</v>
      </c>
      <c r="K353">
        <v>0</v>
      </c>
      <c r="L353">
        <v>0</v>
      </c>
      <c r="M353">
        <v>0.81855748900000003</v>
      </c>
      <c r="N353">
        <v>0.900463397</v>
      </c>
      <c r="O353">
        <v>0</v>
      </c>
      <c r="P353">
        <v>0</v>
      </c>
      <c r="Q353">
        <v>0.89690049400000005</v>
      </c>
      <c r="R353">
        <v>0.794617452</v>
      </c>
      <c r="S353">
        <v>3.5128602670000002</v>
      </c>
      <c r="T353">
        <v>0.75411668499999995</v>
      </c>
      <c r="U353">
        <v>0</v>
      </c>
      <c r="V353">
        <v>2.5465583459999999</v>
      </c>
      <c r="W353">
        <v>2.4779755529999998</v>
      </c>
      <c r="X353">
        <v>6.8728921339999998</v>
      </c>
      <c r="Y353">
        <v>0</v>
      </c>
      <c r="Z353">
        <v>0</v>
      </c>
      <c r="AA353">
        <v>0</v>
      </c>
      <c r="AB353">
        <v>0.66015074699999998</v>
      </c>
      <c r="AC353">
        <v>0</v>
      </c>
    </row>
    <row r="354" spans="1:29">
      <c r="A354" t="s">
        <v>2500</v>
      </c>
      <c r="B354">
        <v>0.43883875300000003</v>
      </c>
      <c r="C354">
        <v>0.80028310199999997</v>
      </c>
      <c r="D354">
        <v>0.71092957000000001</v>
      </c>
      <c r="E354">
        <v>1.4272162500000001</v>
      </c>
      <c r="F354">
        <v>0</v>
      </c>
      <c r="G354">
        <v>0</v>
      </c>
      <c r="H354">
        <v>0.47099727899999999</v>
      </c>
      <c r="I354">
        <v>1.0925485660000001</v>
      </c>
      <c r="J354">
        <v>0</v>
      </c>
      <c r="K354">
        <v>1.36223925</v>
      </c>
      <c r="L354">
        <v>2.5189639750000001</v>
      </c>
      <c r="M354">
        <v>0.67085987800000002</v>
      </c>
      <c r="N354">
        <v>0.58492595700000005</v>
      </c>
      <c r="O354">
        <v>0</v>
      </c>
      <c r="P354">
        <v>0.98448701299999997</v>
      </c>
      <c r="Q354">
        <v>0.37042051799999998</v>
      </c>
      <c r="R354">
        <v>0.32817755199999998</v>
      </c>
      <c r="S354">
        <v>1.4508136949999999</v>
      </c>
      <c r="T354">
        <v>0.54896619999999996</v>
      </c>
      <c r="U354">
        <v>1.0710109249999999</v>
      </c>
      <c r="V354">
        <v>0.75288395500000005</v>
      </c>
      <c r="W354">
        <v>0.73260761399999996</v>
      </c>
      <c r="X354">
        <v>2.0319543109999998</v>
      </c>
      <c r="Y354">
        <v>0.19268118300000001</v>
      </c>
      <c r="Z354">
        <v>0</v>
      </c>
      <c r="AA354">
        <v>0.55469767400000003</v>
      </c>
      <c r="AB354">
        <v>0</v>
      </c>
      <c r="AC354">
        <v>0</v>
      </c>
    </row>
    <row r="355" spans="1:29">
      <c r="A355" t="s">
        <v>2501</v>
      </c>
      <c r="B355">
        <v>0.28799657400000001</v>
      </c>
      <c r="C355">
        <v>1.183513603</v>
      </c>
      <c r="D355">
        <v>0.80138654799999998</v>
      </c>
      <c r="E355">
        <v>5.7785202959999999</v>
      </c>
      <c r="F355">
        <v>0.59033119000000001</v>
      </c>
      <c r="G355">
        <v>0.39499525099999999</v>
      </c>
      <c r="H355">
        <v>0.531705286</v>
      </c>
      <c r="I355">
        <v>0</v>
      </c>
      <c r="J355">
        <v>0.24303174899999999</v>
      </c>
      <c r="K355">
        <v>0</v>
      </c>
      <c r="L355">
        <v>0</v>
      </c>
      <c r="M355">
        <v>0.75699870599999997</v>
      </c>
      <c r="N355">
        <v>0.67602110400000004</v>
      </c>
      <c r="O355">
        <v>0.26205535600000002</v>
      </c>
      <c r="P355">
        <v>0</v>
      </c>
      <c r="Q355">
        <v>0.49851318500000003</v>
      </c>
      <c r="R355">
        <v>0.44166245799999998</v>
      </c>
      <c r="S355">
        <v>1.952509974</v>
      </c>
      <c r="T355">
        <v>0.82179471299999995</v>
      </c>
      <c r="U355">
        <v>0</v>
      </c>
      <c r="V355">
        <v>0</v>
      </c>
      <c r="W355">
        <v>0</v>
      </c>
      <c r="X355">
        <v>0</v>
      </c>
      <c r="Y355">
        <v>0.203110661</v>
      </c>
      <c r="Z355">
        <v>0</v>
      </c>
      <c r="AA355">
        <v>0.72182743100000002</v>
      </c>
      <c r="AB355">
        <v>0.92502598400000002</v>
      </c>
      <c r="AC355">
        <v>0</v>
      </c>
    </row>
    <row r="356" spans="1:29">
      <c r="A356" t="s">
        <v>1627</v>
      </c>
      <c r="B356">
        <v>0.34510972699999998</v>
      </c>
      <c r="C356">
        <v>1.6765985370000001</v>
      </c>
      <c r="D356">
        <v>4.369376484</v>
      </c>
      <c r="E356">
        <v>1.02228728</v>
      </c>
      <c r="F356">
        <v>0</v>
      </c>
      <c r="G356">
        <v>0</v>
      </c>
      <c r="H356">
        <v>0</v>
      </c>
      <c r="I356">
        <v>1.7151297219999999</v>
      </c>
      <c r="J356">
        <v>0.461744133</v>
      </c>
      <c r="K356">
        <v>1.3141876699999999</v>
      </c>
      <c r="L356">
        <v>0</v>
      </c>
      <c r="M356">
        <v>1.7764384870000001</v>
      </c>
      <c r="N356">
        <v>2.0830128079999999</v>
      </c>
      <c r="O356">
        <v>0.170908597</v>
      </c>
      <c r="P356">
        <v>1.2701125150000001</v>
      </c>
      <c r="Q356">
        <v>1.9653437680000001</v>
      </c>
      <c r="R356">
        <v>1.741214848</v>
      </c>
      <c r="S356">
        <v>7.6975964240000003</v>
      </c>
      <c r="T356">
        <v>0</v>
      </c>
      <c r="U356">
        <v>0</v>
      </c>
      <c r="V356">
        <v>0</v>
      </c>
      <c r="W356">
        <v>0</v>
      </c>
      <c r="X356">
        <v>0</v>
      </c>
      <c r="Y356">
        <v>0.199563501</v>
      </c>
      <c r="Z356">
        <v>0</v>
      </c>
      <c r="AA356">
        <v>1.11458821</v>
      </c>
      <c r="AB356">
        <v>1.77968043</v>
      </c>
      <c r="AC356">
        <v>0.56488799199999995</v>
      </c>
    </row>
    <row r="357" spans="1:29">
      <c r="A357" t="s">
        <v>1628</v>
      </c>
      <c r="B357">
        <v>0.25255357899999997</v>
      </c>
      <c r="C357">
        <v>0.80644660400000001</v>
      </c>
      <c r="D357">
        <v>0.85256556800000005</v>
      </c>
      <c r="E357">
        <v>1.337874301</v>
      </c>
      <c r="F357">
        <v>0</v>
      </c>
      <c r="G357">
        <v>0</v>
      </c>
      <c r="H357">
        <v>0.44306902500000001</v>
      </c>
      <c r="I357">
        <v>1.455615345</v>
      </c>
      <c r="J357">
        <v>0.22684277</v>
      </c>
      <c r="K357">
        <v>0</v>
      </c>
      <c r="L357">
        <v>0</v>
      </c>
      <c r="M357">
        <v>0.85787515400000003</v>
      </c>
      <c r="N357">
        <v>0.83397817600000002</v>
      </c>
      <c r="O357">
        <v>0.27574704300000002</v>
      </c>
      <c r="P357">
        <v>0.85096011100000002</v>
      </c>
      <c r="Q357">
        <v>0.28697024599999998</v>
      </c>
      <c r="R357">
        <v>0.25424399600000003</v>
      </c>
      <c r="S357">
        <v>1.1239667959999999</v>
      </c>
      <c r="T357">
        <v>0.76579109599999995</v>
      </c>
      <c r="U357">
        <v>1.1901483960000001</v>
      </c>
      <c r="V357">
        <v>0.41104127099999999</v>
      </c>
      <c r="W357">
        <v>0.39997128799999998</v>
      </c>
      <c r="X357">
        <v>1.109356996</v>
      </c>
      <c r="Y357">
        <v>0.170372257</v>
      </c>
      <c r="Z357">
        <v>0</v>
      </c>
      <c r="AA357">
        <v>0.70677167100000005</v>
      </c>
      <c r="AB357">
        <v>0.83509895700000003</v>
      </c>
      <c r="AC357">
        <v>1.298189297</v>
      </c>
    </row>
    <row r="358" spans="1:29">
      <c r="A358" t="s">
        <v>1629</v>
      </c>
      <c r="B358">
        <v>0.39221691800000003</v>
      </c>
      <c r="C358">
        <v>0.89286785899999999</v>
      </c>
      <c r="D358">
        <v>0.92063097100000002</v>
      </c>
      <c r="E358">
        <v>1.8907168480000001</v>
      </c>
      <c r="F358">
        <v>0.86558903099999995</v>
      </c>
      <c r="G358">
        <v>0.31075832199999998</v>
      </c>
      <c r="H358">
        <v>0.47113370300000001</v>
      </c>
      <c r="I358">
        <v>1.2668142250000001</v>
      </c>
      <c r="J358">
        <v>0.206386767</v>
      </c>
      <c r="K358">
        <v>1.1996277639999999</v>
      </c>
      <c r="L358">
        <v>2.0082834570000001</v>
      </c>
      <c r="M358">
        <v>0.75882034600000003</v>
      </c>
      <c r="N358">
        <v>0.71581888999999999</v>
      </c>
      <c r="O358">
        <v>0.30258560699999998</v>
      </c>
      <c r="P358">
        <v>0.78365574800000004</v>
      </c>
      <c r="Q358">
        <v>0.538028697</v>
      </c>
      <c r="R358">
        <v>0.476671599</v>
      </c>
      <c r="S358">
        <v>2.107279063</v>
      </c>
      <c r="T358">
        <v>0.73884366099999998</v>
      </c>
      <c r="U358">
        <v>1.2156237130000001</v>
      </c>
      <c r="V358">
        <v>0.56163784999999999</v>
      </c>
      <c r="W358">
        <v>0.54651206600000002</v>
      </c>
      <c r="X358">
        <v>1.5158012649999999</v>
      </c>
      <c r="Y358">
        <v>0.21299099499999999</v>
      </c>
      <c r="Z358">
        <v>1.2125896270000001</v>
      </c>
      <c r="AA358">
        <v>0</v>
      </c>
      <c r="AB358">
        <v>1.084351976</v>
      </c>
      <c r="AC358">
        <v>0.70116062000000001</v>
      </c>
    </row>
    <row r="359" spans="1:29">
      <c r="A359" t="s">
        <v>1630</v>
      </c>
      <c r="B359">
        <v>0.36261537599999999</v>
      </c>
      <c r="C359">
        <v>0.86531073999999997</v>
      </c>
      <c r="D359">
        <v>0.65692733400000003</v>
      </c>
      <c r="E359">
        <v>1.326032026</v>
      </c>
      <c r="F359">
        <v>0.93715787399999995</v>
      </c>
      <c r="G359">
        <v>0.314028425</v>
      </c>
      <c r="H359">
        <v>0.454018588</v>
      </c>
      <c r="I359">
        <v>0.99695129699999996</v>
      </c>
      <c r="J359">
        <v>0.27117247300000002</v>
      </c>
      <c r="K359">
        <v>0.83725640999999995</v>
      </c>
      <c r="L359">
        <v>2.181364292</v>
      </c>
      <c r="M359">
        <v>0.62808623600000002</v>
      </c>
      <c r="N359">
        <v>0.52706725399999999</v>
      </c>
      <c r="O359">
        <v>0</v>
      </c>
      <c r="P359">
        <v>0.96160260900000005</v>
      </c>
      <c r="Q359">
        <v>0.463434244</v>
      </c>
      <c r="R359">
        <v>0.41058393900000001</v>
      </c>
      <c r="S359">
        <v>1.815117455</v>
      </c>
      <c r="T359">
        <v>0.59434190499999995</v>
      </c>
      <c r="U359">
        <v>0</v>
      </c>
      <c r="V359">
        <v>0.60814828700000001</v>
      </c>
      <c r="W359">
        <v>0.59176990399999996</v>
      </c>
      <c r="X359">
        <v>1.6413280240000001</v>
      </c>
      <c r="Y359">
        <v>0.20548892999999999</v>
      </c>
      <c r="Z359">
        <v>0</v>
      </c>
      <c r="AA359">
        <v>0.52336751800000003</v>
      </c>
      <c r="AB359">
        <v>0</v>
      </c>
      <c r="AC359">
        <v>0</v>
      </c>
    </row>
    <row r="360" spans="1:29">
      <c r="A360" t="s">
        <v>1631</v>
      </c>
      <c r="B360">
        <v>0</v>
      </c>
      <c r="C360">
        <v>0.62571679300000005</v>
      </c>
      <c r="D360">
        <v>1.2461751089999999</v>
      </c>
      <c r="E360">
        <v>1.5622462930000001</v>
      </c>
      <c r="F360">
        <v>0</v>
      </c>
      <c r="G360">
        <v>0.456103498</v>
      </c>
      <c r="H360">
        <v>0.50805940400000005</v>
      </c>
      <c r="I360">
        <v>0</v>
      </c>
      <c r="J360">
        <v>0.369710602</v>
      </c>
      <c r="K360">
        <v>0</v>
      </c>
      <c r="L360">
        <v>0</v>
      </c>
      <c r="M360">
        <v>0.77173051699999995</v>
      </c>
      <c r="N360">
        <v>0.79058073299999998</v>
      </c>
      <c r="O360">
        <v>0</v>
      </c>
      <c r="P360">
        <v>0.67064108899999997</v>
      </c>
      <c r="Q360">
        <v>0.68700809500000004</v>
      </c>
      <c r="R360">
        <v>0.60866130100000004</v>
      </c>
      <c r="S360">
        <v>2.690781705</v>
      </c>
      <c r="T360">
        <v>0</v>
      </c>
      <c r="U360">
        <v>0</v>
      </c>
      <c r="V360">
        <v>0.44001077399999999</v>
      </c>
      <c r="W360">
        <v>0.42816059699999998</v>
      </c>
      <c r="X360">
        <v>1.1875426259999999</v>
      </c>
      <c r="Y360">
        <v>0</v>
      </c>
      <c r="Z360">
        <v>0</v>
      </c>
      <c r="AA360">
        <v>0</v>
      </c>
      <c r="AB360">
        <v>1.4378107689999999</v>
      </c>
      <c r="AC360">
        <v>0</v>
      </c>
    </row>
    <row r="361" spans="1:29">
      <c r="A361" t="s">
        <v>1632</v>
      </c>
      <c r="B361">
        <v>0.53731234699999997</v>
      </c>
      <c r="C361">
        <v>1.1517659609999999</v>
      </c>
      <c r="D361">
        <v>0.95775099200000002</v>
      </c>
      <c r="E361">
        <v>1.361147141</v>
      </c>
      <c r="F361">
        <v>0</v>
      </c>
      <c r="G361">
        <v>0.387739477</v>
      </c>
      <c r="H361">
        <v>0.51129660600000004</v>
      </c>
      <c r="I361">
        <v>0</v>
      </c>
      <c r="J361">
        <v>0.63606640999999997</v>
      </c>
      <c r="K361">
        <v>0</v>
      </c>
      <c r="L361">
        <v>0</v>
      </c>
      <c r="M361">
        <v>0.83585732400000001</v>
      </c>
      <c r="N361">
        <v>0.73274136499999998</v>
      </c>
      <c r="O361">
        <v>0.70291817099999998</v>
      </c>
      <c r="P361">
        <v>0</v>
      </c>
      <c r="Q361">
        <v>0.53799334499999996</v>
      </c>
      <c r="R361">
        <v>0.47664027799999997</v>
      </c>
      <c r="S361">
        <v>2.1071406019999999</v>
      </c>
      <c r="T361">
        <v>0.99888817200000002</v>
      </c>
      <c r="U361">
        <v>0</v>
      </c>
      <c r="V361">
        <v>0.45019498699999999</v>
      </c>
      <c r="W361">
        <v>0.43807053299999998</v>
      </c>
      <c r="X361">
        <v>1.215028743</v>
      </c>
      <c r="Y361">
        <v>0.27909423700000002</v>
      </c>
      <c r="Z361">
        <v>0.83940225899999998</v>
      </c>
      <c r="AA361">
        <v>0</v>
      </c>
      <c r="AB361">
        <v>1.083451562</v>
      </c>
      <c r="AC361">
        <v>0</v>
      </c>
    </row>
    <row r="362" spans="1:29">
      <c r="A362" t="s">
        <v>254</v>
      </c>
      <c r="B362">
        <v>0.41414656700000002</v>
      </c>
      <c r="C362">
        <v>0.78213020300000002</v>
      </c>
      <c r="D362">
        <v>1.0137467250000001</v>
      </c>
      <c r="E362">
        <v>3.125653835</v>
      </c>
      <c r="F362">
        <v>0</v>
      </c>
      <c r="G362">
        <v>0.40023399900000001</v>
      </c>
      <c r="H362">
        <v>0.58490566399999999</v>
      </c>
      <c r="I362">
        <v>0</v>
      </c>
      <c r="J362">
        <v>0.33754980699999998</v>
      </c>
      <c r="K362">
        <v>0.96520704899999998</v>
      </c>
      <c r="L362">
        <v>0</v>
      </c>
      <c r="M362">
        <v>0.73096093100000004</v>
      </c>
      <c r="N362">
        <v>0.84290912600000001</v>
      </c>
      <c r="O362">
        <v>0.36398377199999998</v>
      </c>
      <c r="P362">
        <v>0</v>
      </c>
      <c r="Q362">
        <v>1.07037363</v>
      </c>
      <c r="R362">
        <v>0.94830761299999999</v>
      </c>
      <c r="S362">
        <v>4.1922967189999998</v>
      </c>
      <c r="T362">
        <v>0</v>
      </c>
      <c r="U362">
        <v>0</v>
      </c>
      <c r="V362">
        <v>0</v>
      </c>
      <c r="W362">
        <v>0</v>
      </c>
      <c r="X362">
        <v>0</v>
      </c>
      <c r="Y362">
        <v>0</v>
      </c>
      <c r="Z362">
        <v>0</v>
      </c>
      <c r="AA362">
        <v>0</v>
      </c>
      <c r="AB362">
        <v>0</v>
      </c>
      <c r="AC362">
        <v>0</v>
      </c>
    </row>
    <row r="363" spans="1:29">
      <c r="A363" t="s">
        <v>1633</v>
      </c>
      <c r="B363">
        <v>0.36403819199999998</v>
      </c>
      <c r="C363">
        <v>0.724697535</v>
      </c>
      <c r="D363">
        <v>0.84224069899999998</v>
      </c>
      <c r="E363">
        <v>3.0642701649999999</v>
      </c>
      <c r="F363">
        <v>0.71597034000000004</v>
      </c>
      <c r="G363">
        <v>0</v>
      </c>
      <c r="H363">
        <v>0.44411832200000001</v>
      </c>
      <c r="I363">
        <v>0</v>
      </c>
      <c r="J363">
        <v>0</v>
      </c>
      <c r="K363">
        <v>0.80910443200000004</v>
      </c>
      <c r="L363">
        <v>0</v>
      </c>
      <c r="M363">
        <v>0.76427051499999998</v>
      </c>
      <c r="N363">
        <v>0.77538820500000005</v>
      </c>
      <c r="O363">
        <v>0</v>
      </c>
      <c r="P363">
        <v>0</v>
      </c>
      <c r="Q363">
        <v>0.66660828299999997</v>
      </c>
      <c r="R363">
        <v>0.59058789599999995</v>
      </c>
      <c r="S363">
        <v>2.6108824419999999</v>
      </c>
      <c r="T363">
        <v>0.83727282400000003</v>
      </c>
      <c r="U363">
        <v>0</v>
      </c>
      <c r="V363">
        <v>0</v>
      </c>
      <c r="W363">
        <v>0</v>
      </c>
      <c r="X363">
        <v>0</v>
      </c>
      <c r="Y363">
        <v>0.12833862900000001</v>
      </c>
      <c r="Z363">
        <v>1.5530793780000001</v>
      </c>
      <c r="AA363">
        <v>0.700920922</v>
      </c>
      <c r="AB363">
        <v>0.72125478600000004</v>
      </c>
      <c r="AC363">
        <v>0.52250566300000001</v>
      </c>
    </row>
    <row r="364" spans="1:29">
      <c r="A364" t="s">
        <v>1634</v>
      </c>
      <c r="B364">
        <v>0.58047487200000003</v>
      </c>
      <c r="C364">
        <v>1.021567455</v>
      </c>
      <c r="D364">
        <v>1.031471362</v>
      </c>
      <c r="E364">
        <v>1.408220738</v>
      </c>
      <c r="F364">
        <v>0.82743257800000003</v>
      </c>
      <c r="G364">
        <v>0</v>
      </c>
      <c r="H364">
        <v>0.73738112499999997</v>
      </c>
      <c r="I364">
        <v>1.1923535810000001</v>
      </c>
      <c r="J364">
        <v>0</v>
      </c>
      <c r="K364">
        <v>2.3816126020000001</v>
      </c>
      <c r="L364">
        <v>1.7283016899999999</v>
      </c>
      <c r="M364">
        <v>0.95065053799999999</v>
      </c>
      <c r="N364">
        <v>0.88435905999999997</v>
      </c>
      <c r="O364">
        <v>0.97098220499999999</v>
      </c>
      <c r="P364">
        <v>1.157550989</v>
      </c>
      <c r="Q364">
        <v>0.513447557</v>
      </c>
      <c r="R364">
        <v>0.45489370600000001</v>
      </c>
      <c r="S364">
        <v>2.0110029319999998</v>
      </c>
      <c r="T364">
        <v>0.97065179899999998</v>
      </c>
      <c r="U364">
        <v>0</v>
      </c>
      <c r="V364">
        <v>0.78034474799999998</v>
      </c>
      <c r="W364">
        <v>0.75932884499999997</v>
      </c>
      <c r="X364">
        <v>2.1060680920000001</v>
      </c>
      <c r="Y364">
        <v>0.45172773900000002</v>
      </c>
      <c r="Z364">
        <v>1.0042528589999999</v>
      </c>
      <c r="AA364">
        <v>0.84504783999999999</v>
      </c>
      <c r="AB364">
        <v>1.1986862069999999</v>
      </c>
      <c r="AC364">
        <v>0.85288296100000005</v>
      </c>
    </row>
    <row r="365" spans="1:29">
      <c r="A365" t="s">
        <v>1635</v>
      </c>
      <c r="B365">
        <v>0</v>
      </c>
      <c r="C365">
        <v>1.0236169289999999</v>
      </c>
      <c r="D365">
        <v>0</v>
      </c>
      <c r="E365">
        <v>0</v>
      </c>
      <c r="F365">
        <v>0</v>
      </c>
      <c r="G365">
        <v>0</v>
      </c>
      <c r="H365">
        <v>0.61599692800000005</v>
      </c>
      <c r="I365">
        <v>0</v>
      </c>
      <c r="J365">
        <v>0</v>
      </c>
      <c r="K365">
        <v>0</v>
      </c>
      <c r="L365">
        <v>0</v>
      </c>
      <c r="M365">
        <v>0.72933435800000002</v>
      </c>
      <c r="N365">
        <v>0</v>
      </c>
      <c r="O365">
        <v>0</v>
      </c>
      <c r="P365">
        <v>0</v>
      </c>
      <c r="Q365">
        <v>0</v>
      </c>
      <c r="R365">
        <v>0</v>
      </c>
      <c r="S365">
        <v>0</v>
      </c>
      <c r="T365">
        <v>0</v>
      </c>
      <c r="U365">
        <v>0</v>
      </c>
      <c r="V365">
        <v>0.70205901999999998</v>
      </c>
      <c r="W365">
        <v>0.68315147399999998</v>
      </c>
      <c r="X365">
        <v>1.8947831770000001</v>
      </c>
      <c r="Y365">
        <v>0.28305446400000001</v>
      </c>
      <c r="Z365">
        <v>0</v>
      </c>
      <c r="AA365">
        <v>0</v>
      </c>
      <c r="AB365">
        <v>1.530715445</v>
      </c>
      <c r="AC365">
        <v>0</v>
      </c>
    </row>
    <row r="366" spans="1:29">
      <c r="A366" s="877"/>
    </row>
    <row r="367" spans="1:29">
      <c r="A367" s="877"/>
      <c r="B367" s="877"/>
      <c r="C367" s="877"/>
      <c r="D367" s="877"/>
      <c r="E367" s="877"/>
      <c r="F367" s="877"/>
      <c r="G367" s="877"/>
      <c r="H367" s="877"/>
      <c r="I367" s="877"/>
      <c r="J367" s="877"/>
      <c r="K367" s="877"/>
      <c r="L367" s="877"/>
      <c r="M367" s="877"/>
      <c r="N367" s="877"/>
      <c r="O367" s="877"/>
      <c r="P367" s="877"/>
      <c r="Q367" s="877"/>
      <c r="R367" s="877"/>
      <c r="S367" s="877"/>
      <c r="T367" s="877"/>
      <c r="U367" s="877"/>
      <c r="V367" s="877"/>
      <c r="W367" s="877"/>
      <c r="X367" s="877"/>
      <c r="Y367" s="877"/>
    </row>
    <row r="368" spans="1:29">
      <c r="A368" s="877"/>
      <c r="B368" s="877"/>
      <c r="C368" s="877"/>
      <c r="D368" s="877"/>
      <c r="E368" s="877"/>
      <c r="F368" s="877"/>
      <c r="G368" s="877"/>
      <c r="H368" s="877"/>
      <c r="I368" s="877"/>
      <c r="J368" s="877"/>
      <c r="K368" s="877"/>
      <c r="L368" s="877"/>
      <c r="M368" s="877"/>
      <c r="N368" s="877"/>
      <c r="O368" s="877"/>
      <c r="P368" s="877"/>
      <c r="Q368" s="877"/>
      <c r="R368" s="877"/>
      <c r="S368" s="877"/>
      <c r="T368" s="877"/>
      <c r="U368" s="877"/>
      <c r="V368" s="877"/>
      <c r="W368" s="877"/>
      <c r="X368" s="877"/>
      <c r="Y368" s="877"/>
    </row>
    <row r="369" spans="1:25">
      <c r="A369" s="877"/>
      <c r="B369" s="877"/>
      <c r="C369" s="877"/>
      <c r="D369" s="877"/>
      <c r="E369" s="877"/>
      <c r="F369" s="877"/>
      <c r="G369" s="877"/>
      <c r="H369" s="877"/>
      <c r="I369" s="877"/>
      <c r="J369" s="877"/>
      <c r="K369" s="877"/>
      <c r="L369" s="877"/>
      <c r="M369" s="877"/>
      <c r="N369" s="877"/>
      <c r="O369" s="877"/>
      <c r="P369" s="877"/>
      <c r="Q369" s="877"/>
      <c r="R369" s="877"/>
      <c r="S369" s="877"/>
      <c r="T369" s="877"/>
      <c r="U369" s="877"/>
      <c r="V369" s="877"/>
      <c r="W369" s="877"/>
      <c r="X369" s="877"/>
      <c r="Y369" s="877"/>
    </row>
  </sheetData>
  <sheetProtection sheet="1" objects="1" scenarios="1"/>
  <mergeCells count="51">
    <mergeCell ref="A170:H170"/>
    <mergeCell ref="I170:R170"/>
    <mergeCell ref="T170:V170"/>
    <mergeCell ref="O36:R36"/>
    <mergeCell ref="O57:R57"/>
    <mergeCell ref="P104:AA104"/>
    <mergeCell ref="P112:U112"/>
    <mergeCell ref="Q128:U128"/>
    <mergeCell ref="A169:R169"/>
    <mergeCell ref="O59:R59"/>
    <mergeCell ref="P30:Q30"/>
    <mergeCell ref="O4:O5"/>
    <mergeCell ref="P12:U12"/>
    <mergeCell ref="R13:T13"/>
    <mergeCell ref="P15:P16"/>
    <mergeCell ref="Q26:R26"/>
    <mergeCell ref="U193:V193"/>
    <mergeCell ref="U183:V183"/>
    <mergeCell ref="K184:P184"/>
    <mergeCell ref="U184:V184"/>
    <mergeCell ref="U185:V185"/>
    <mergeCell ref="U186:V186"/>
    <mergeCell ref="U187:V187"/>
    <mergeCell ref="U188:V188"/>
    <mergeCell ref="U189:V189"/>
    <mergeCell ref="U190:V190"/>
    <mergeCell ref="U191:V191"/>
    <mergeCell ref="U192:V192"/>
    <mergeCell ref="U194:V194"/>
    <mergeCell ref="U195:V195"/>
    <mergeCell ref="U196:V196"/>
    <mergeCell ref="U197:V197"/>
    <mergeCell ref="U198:V198"/>
    <mergeCell ref="U199:V199"/>
    <mergeCell ref="U200:V200"/>
    <mergeCell ref="A221:I221"/>
    <mergeCell ref="T221:V221"/>
    <mergeCell ref="K223:K230"/>
    <mergeCell ref="T223:T234"/>
    <mergeCell ref="X223:X232"/>
    <mergeCell ref="K231:K232"/>
    <mergeCell ref="A249:I249"/>
    <mergeCell ref="K259:N259"/>
    <mergeCell ref="X233:X234"/>
    <mergeCell ref="T235:T245"/>
    <mergeCell ref="X235:X237"/>
    <mergeCell ref="K264:K266"/>
    <mergeCell ref="K267:K269"/>
    <mergeCell ref="K236:P236"/>
    <mergeCell ref="T246:T260"/>
    <mergeCell ref="K261:K263"/>
  </mergeCells>
  <phoneticPr fontId="107" type="noConversion"/>
  <hyperlinks>
    <hyperlink ref="B5" location="Lambad!N119" display="EF (T)" xr:uid="{FFE7B5A0-D926-480B-8F7F-B1A525199CB5}"/>
    <hyperlink ref="B34" location="Lambad!N146" display="N rate (T)" xr:uid="{2C9B7275-70B5-4359-9B45-B192C7FDD8E4}"/>
    <hyperlink ref="B44" location="Lambad!A147" display="Nex (T)" xr:uid="{7469EC6F-B2B5-410D-A0C3-B7CC99298F73}"/>
    <hyperlink ref="B46" location="Lambad!N152" display="EF3 (S)" xr:uid="{4D4C3F9F-7AFD-460F-8699-E910A8059793}"/>
    <hyperlink ref="B59" location="Lambad!A147" display="Nex (T)" xr:uid="{3FFDDE53-507F-4A2B-8D28-B86AB49A12C6}"/>
    <hyperlink ref="B61" location="Lambad!N173" display="Frac gasMS" xr:uid="{908842CB-7F07-4614-A25A-79AD0E435627}"/>
    <hyperlink ref="B68" location="Lambad!A171" display="N volatilization-MMS" xr:uid="{1A1C739B-82AC-43A4-BB48-FD7C90FE663B}"/>
    <hyperlink ref="B87" location="'Part, kalkun'!N28" display="N rate (T)" xr:uid="{C9A07A49-B25F-4403-993E-61F6F20FF247}"/>
    <hyperlink ref="B108" location="'Part, kalkun'!O49" display="MCF" xr:uid="{031EF732-9EC8-45CE-BF4D-2E76D5D95DAE}"/>
    <hyperlink ref="B107" location="'Part, kalkun'!T40" display="Bo" xr:uid="{8B9D3B1A-A1F0-4676-B227-F325C09923DF}"/>
    <hyperlink ref="B120" location="'Part, kalkun'!P58" display="EF3 (S)" xr:uid="{B4BF4043-B8CB-4693-8CC1-37C103322666}"/>
    <hyperlink ref="B118" location="'Part, kalkun'!A29" display="Nex (T)" xr:uid="{89339339-2339-4C20-9DB1-129C2660EBBE}"/>
    <hyperlink ref="B132" location="'Part, kalkun'!A29" display="Nex (T)" xr:uid="{0B37A9F0-F82F-436B-9EB2-1EAD4B1BB336}"/>
    <hyperlink ref="B134" location="'Part, kalkun'!P73" display="Frac gasMS" xr:uid="{B32207F6-DA5B-4E7F-8792-60A9737DF92A}"/>
    <hyperlink ref="B141" location="'Part, kalkun'!A75" display="N volatilization-MMS" xr:uid="{BF002F23-8A9F-4189-AD83-A1264F0D9C78}"/>
    <hyperlink ref="A193" location="'Atm õhu kaitse määrus'!U5" display="mNjuurdekasv" xr:uid="{DC18677F-0241-44CF-84C3-A8833CF6A607}"/>
    <hyperlink ref="A201" location="'Atm õhu kaitse määrus'!U6" display="mNloode" xr:uid="{6509E57F-FEC3-4F4D-BAEB-4E0C18A81153}"/>
    <hyperlink ref="J176" location="'Atm õhu kaitse määrus'!T15" display="qN" xr:uid="{25E8A4BB-60B4-4EBE-8304-A41935091D5E}"/>
    <hyperlink ref="G237" location="'Atm õhu kaitse määrus'!K54" display="klaut veis" xr:uid="{7CAFF24D-8033-46AA-96CF-D11ED3AB2192}"/>
    <hyperlink ref="G238" location="'Atm õhu kaitse määrus'!T54" display="klaut siga" xr:uid="{66273D90-3B3E-4F52-9F65-59A4A4C4D362}"/>
    <hyperlink ref="G239" location="'Atm õhu kaitse määrus'!AB54" display="klaut linnud" xr:uid="{9758DADE-3688-4A1D-8DE4-133B22727FB5}"/>
    <hyperlink ref="A246" location="'Atm õhu kaitse määrus'!K69" display="qCH4laut" xr:uid="{8710E021-9B6A-4E68-A7B5-A58E5A77B3AE}"/>
    <hyperlink ref="A260" location="'Atm õhu kaitse määrus'!K82" display="ksõnnikuhoidla" xr:uid="{E003D9E9-9D67-476A-AF53-34C74420B404}"/>
    <hyperlink ref="A268" location="'Atm õhu kaitse määrus'!K92" display="qCH4sõnnikuhoidla" xr:uid="{28F96FB2-B643-4E02-9C99-5F366DF32444}"/>
    <hyperlink ref="A278" location="'Atm õhu kaitse määrus'!K103" display="ksõnnikuhoidla" xr:uid="{894A1A4D-3FC2-414D-870C-FF9B3859131A}"/>
    <hyperlink ref="A215" location="'Atm õhu kaitse määrus'!A7" display="MNsööt" xr:uid="{BCCB9499-4C2B-46BF-A13F-BE66F3D00B91}"/>
    <hyperlink ref="A238" location="'Atm õhu kaitse määrus'!A58" display="sk" xr:uid="{8A1F10BA-D250-4EB7-BDAD-5F2563B361BE}"/>
    <hyperlink ref="A258" location="'Atm õhu kaitse määrus'!A66" display="MNH3laut" xr:uid="{E86DF9F4-0772-44B0-B062-C93D9DC0158B}"/>
    <hyperlink ref="A257" location="'Atm õhu kaitse määrus'!A58" display="sk" xr:uid="{D5E1E763-A1DC-4F2E-8EBC-AEBD3F1E12A4}"/>
    <hyperlink ref="A277" location="'Atm õhu kaitse määrus'!A58" display="sk" xr:uid="{A9283A82-1C7C-4536-A655-125258F7160F}"/>
    <hyperlink ref="A267" location="'Atm õhu kaitse määrus'!K19" display="L" xr:uid="{AAA2B686-5D3E-46BD-86EB-5EB015C82428}"/>
    <hyperlink ref="A269" location="'Atm õhu kaitse määrus'!A58" display="sk" xr:uid="{7508ADE8-61FB-4066-A7B5-E36C03250912}"/>
    <hyperlink ref="A285" location="'Atm õhu kaitse määrus'!A66" display="MNH3laut" xr:uid="{2AAE5437-0D78-4F11-9F4E-3B4DF9539038}"/>
    <hyperlink ref="A294" location="'Atm õhu kaitse määrus'!A86" display="MNH3sõnnikuhoidla" xr:uid="{1B2B327A-AD1A-46A7-8808-CCB2763872B0}"/>
    <hyperlink ref="A245" location="'Atm õhu kaitse määrus'!K19" display="L" xr:uid="{902F6319-E938-483D-9F0B-C2734498CAEC}"/>
    <hyperlink ref="B13" location="Lambad!N126" display="EF S" xr:uid="{CF45C25D-63CB-40CD-B5D0-E9AD7CD0A46E}"/>
  </hyperlink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104C-72E3-40BB-B886-45DB7C31124E}">
  <sheetPr codeName="Sheet13"/>
  <dimension ref="A2:N210"/>
  <sheetViews>
    <sheetView topLeftCell="A195" zoomScale="85" zoomScaleNormal="85" workbookViewId="0">
      <selection activeCell="J185" sqref="J185"/>
    </sheetView>
  </sheetViews>
  <sheetFormatPr defaultColWidth="8.54296875" defaultRowHeight="14.5"/>
  <cols>
    <col min="1" max="1" width="41.453125" customWidth="1"/>
    <col min="2" max="2" width="34.1796875" customWidth="1"/>
    <col min="3" max="3" width="26.453125" customWidth="1"/>
    <col min="4" max="4" width="24.453125" customWidth="1"/>
    <col min="5" max="5" width="12.54296875" customWidth="1"/>
    <col min="6" max="6" width="29.453125" customWidth="1"/>
    <col min="10" max="10" width="23.453125" customWidth="1"/>
    <col min="11" max="11" width="61.453125" customWidth="1"/>
    <col min="12" max="12" width="27.54296875" customWidth="1"/>
    <col min="13" max="13" width="13.54296875" customWidth="1"/>
  </cols>
  <sheetData>
    <row r="2" spans="1:5">
      <c r="A2" s="1383" t="s">
        <v>256</v>
      </c>
      <c r="B2" s="1383"/>
      <c r="C2" s="1383"/>
      <c r="D2" s="1383"/>
      <c r="E2" s="1383"/>
    </row>
    <row r="3" spans="1:5">
      <c r="A3" s="152" t="s">
        <v>411</v>
      </c>
      <c r="B3" s="152" t="s">
        <v>222</v>
      </c>
      <c r="C3" s="152" t="s">
        <v>797</v>
      </c>
      <c r="D3" s="152" t="s">
        <v>19</v>
      </c>
      <c r="E3" s="152" t="s">
        <v>1636</v>
      </c>
    </row>
    <row r="4" spans="1:5">
      <c r="A4" t="s">
        <v>1637</v>
      </c>
      <c r="B4" t="s">
        <v>1638</v>
      </c>
      <c r="C4">
        <v>5.3455126999999996</v>
      </c>
      <c r="D4" t="s">
        <v>1639</v>
      </c>
      <c r="E4" t="s">
        <v>1640</v>
      </c>
    </row>
    <row r="5" spans="1:5">
      <c r="A5" t="s">
        <v>1637</v>
      </c>
      <c r="B5" t="s">
        <v>2507</v>
      </c>
      <c r="C5">
        <v>5.4119919000000003</v>
      </c>
      <c r="D5" t="s">
        <v>1639</v>
      </c>
      <c r="E5" t="s">
        <v>1640</v>
      </c>
    </row>
    <row r="6" spans="1:5">
      <c r="A6" t="s">
        <v>1637</v>
      </c>
      <c r="B6" t="s">
        <v>257</v>
      </c>
      <c r="C6">
        <v>3.0470106000000001</v>
      </c>
      <c r="D6" t="s">
        <v>1639</v>
      </c>
      <c r="E6" t="s">
        <v>1640</v>
      </c>
    </row>
    <row r="7" spans="1:5">
      <c r="A7" t="s">
        <v>1637</v>
      </c>
      <c r="B7" t="s">
        <v>2508</v>
      </c>
      <c r="C7">
        <v>12.29477</v>
      </c>
      <c r="D7" t="s">
        <v>1639</v>
      </c>
      <c r="E7" t="s">
        <v>1640</v>
      </c>
    </row>
    <row r="8" spans="1:5">
      <c r="A8" t="s">
        <v>1637</v>
      </c>
      <c r="B8" t="s">
        <v>2509</v>
      </c>
      <c r="C8">
        <v>8.0630068999999995</v>
      </c>
      <c r="D8" t="s">
        <v>1639</v>
      </c>
      <c r="E8" t="s">
        <v>1640</v>
      </c>
    </row>
    <row r="9" spans="1:5">
      <c r="A9" t="s">
        <v>1637</v>
      </c>
      <c r="B9" t="s">
        <v>346</v>
      </c>
      <c r="C9">
        <v>1.2646564</v>
      </c>
      <c r="D9" t="s">
        <v>1639</v>
      </c>
      <c r="E9" t="s">
        <v>1640</v>
      </c>
    </row>
    <row r="10" spans="1:5">
      <c r="A10" t="s">
        <v>1637</v>
      </c>
      <c r="B10" t="s">
        <v>347</v>
      </c>
      <c r="C10">
        <v>10.569362</v>
      </c>
      <c r="D10" t="s">
        <v>1639</v>
      </c>
      <c r="E10" t="s">
        <v>1640</v>
      </c>
    </row>
    <row r="11" spans="1:5">
      <c r="A11" t="s">
        <v>1637</v>
      </c>
      <c r="B11" t="s">
        <v>345</v>
      </c>
      <c r="C11">
        <v>4.1830679999999996</v>
      </c>
      <c r="D11" t="s">
        <v>1639</v>
      </c>
      <c r="E11" t="s">
        <v>1640</v>
      </c>
    </row>
    <row r="12" spans="1:5">
      <c r="A12" t="s">
        <v>1637</v>
      </c>
      <c r="B12" t="s">
        <v>330</v>
      </c>
      <c r="C12">
        <v>5.0980273</v>
      </c>
      <c r="D12" t="s">
        <v>1639</v>
      </c>
      <c r="E12" t="s">
        <v>1640</v>
      </c>
    </row>
    <row r="13" spans="1:5">
      <c r="A13" t="s">
        <v>1637</v>
      </c>
      <c r="B13" t="s">
        <v>348</v>
      </c>
      <c r="C13">
        <f>AVERAGE(C4:C12)</f>
        <v>6.1419339777777777</v>
      </c>
      <c r="D13" t="s">
        <v>1639</v>
      </c>
      <c r="E13" t="s">
        <v>1640</v>
      </c>
    </row>
    <row r="14" spans="1:5">
      <c r="A14" t="s">
        <v>2569</v>
      </c>
      <c r="B14" t="s">
        <v>2572</v>
      </c>
      <c r="C14">
        <v>0.79715734000000005</v>
      </c>
      <c r="D14" t="s">
        <v>1639</v>
      </c>
      <c r="E14" t="s">
        <v>1640</v>
      </c>
    </row>
    <row r="15" spans="1:5">
      <c r="A15" t="s">
        <v>2569</v>
      </c>
      <c r="B15" t="s">
        <v>2565</v>
      </c>
      <c r="C15">
        <v>1.9100685666666666</v>
      </c>
      <c r="D15" t="s">
        <v>1639</v>
      </c>
      <c r="E15" t="s">
        <v>1640</v>
      </c>
    </row>
    <row r="16" spans="1:5">
      <c r="A16" t="s">
        <v>2569</v>
      </c>
      <c r="B16" t="s">
        <v>2566</v>
      </c>
      <c r="C16">
        <v>0.39038434999999999</v>
      </c>
      <c r="D16" t="s">
        <v>1639</v>
      </c>
      <c r="E16" t="s">
        <v>1640</v>
      </c>
    </row>
    <row r="17" spans="1:5">
      <c r="A17" t="s">
        <v>2569</v>
      </c>
      <c r="B17" t="s">
        <v>2567</v>
      </c>
      <c r="C17">
        <v>0.44613281999999999</v>
      </c>
      <c r="D17" t="s">
        <v>1639</v>
      </c>
      <c r="E17" t="s">
        <v>1640</v>
      </c>
    </row>
    <row r="18" spans="1:5">
      <c r="A18" t="s">
        <v>2569</v>
      </c>
      <c r="B18" t="s">
        <v>2568</v>
      </c>
      <c r="C18">
        <v>0.60494694999999998</v>
      </c>
      <c r="D18" t="s">
        <v>1639</v>
      </c>
      <c r="E18" t="s">
        <v>1640</v>
      </c>
    </row>
    <row r="19" spans="1:5">
      <c r="A19" t="s">
        <v>2511</v>
      </c>
      <c r="B19" t="s">
        <v>1642</v>
      </c>
      <c r="C19">
        <v>0.27015206000000003</v>
      </c>
      <c r="D19" t="s">
        <v>1639</v>
      </c>
      <c r="E19" t="s">
        <v>1641</v>
      </c>
    </row>
    <row r="20" spans="1:5">
      <c r="A20" t="s">
        <v>2511</v>
      </c>
      <c r="B20" t="s">
        <v>358</v>
      </c>
      <c r="C20">
        <v>0.44534692545648202</v>
      </c>
      <c r="D20" t="s">
        <v>1639</v>
      </c>
      <c r="E20" t="s">
        <v>1641</v>
      </c>
    </row>
    <row r="21" spans="1:5">
      <c r="A21" t="s">
        <v>2511</v>
      </c>
      <c r="B21" t="s">
        <v>2510</v>
      </c>
      <c r="C21">
        <v>2.0728802000000002</v>
      </c>
      <c r="D21" t="s">
        <v>1639</v>
      </c>
      <c r="E21" t="s">
        <v>1640</v>
      </c>
    </row>
    <row r="22" spans="1:5">
      <c r="A22" t="s">
        <v>2511</v>
      </c>
      <c r="B22" t="s">
        <v>2512</v>
      </c>
      <c r="C22">
        <v>14.523875</v>
      </c>
      <c r="D22" t="s">
        <v>1639</v>
      </c>
      <c r="E22" t="s">
        <v>1640</v>
      </c>
    </row>
    <row r="23" spans="1:5">
      <c r="A23" t="s">
        <v>2511</v>
      </c>
      <c r="B23" t="s">
        <v>1652</v>
      </c>
      <c r="C23">
        <v>1.9848281000000001</v>
      </c>
      <c r="D23" t="s">
        <v>1639</v>
      </c>
      <c r="E23" t="s">
        <v>1640</v>
      </c>
    </row>
    <row r="24" spans="1:5">
      <c r="A24" t="s">
        <v>1643</v>
      </c>
      <c r="B24" t="s">
        <v>1644</v>
      </c>
      <c r="C24">
        <v>0.18757277999999999</v>
      </c>
      <c r="D24" t="s">
        <v>1639</v>
      </c>
      <c r="E24" t="s">
        <v>1640</v>
      </c>
    </row>
    <row r="25" spans="1:5">
      <c r="A25" t="s">
        <v>1643</v>
      </c>
      <c r="B25" t="s">
        <v>349</v>
      </c>
      <c r="C25">
        <v>7.9598433999999996E-2</v>
      </c>
      <c r="D25" t="s">
        <v>1639</v>
      </c>
      <c r="E25" t="s">
        <v>1640</v>
      </c>
    </row>
    <row r="26" spans="1:5">
      <c r="A26" t="s">
        <v>1643</v>
      </c>
      <c r="B26" t="s">
        <v>1645</v>
      </c>
      <c r="C26">
        <v>4.2702263999999997E-2</v>
      </c>
      <c r="D26" t="s">
        <v>1639</v>
      </c>
      <c r="E26" t="s">
        <v>1640</v>
      </c>
    </row>
    <row r="27" spans="1:5">
      <c r="A27" t="s">
        <v>1643</v>
      </c>
      <c r="B27" t="s">
        <v>1646</v>
      </c>
      <c r="C27">
        <v>1.1472747000000001</v>
      </c>
      <c r="D27" t="s">
        <v>1639</v>
      </c>
      <c r="E27" t="s">
        <v>1640</v>
      </c>
    </row>
    <row r="28" spans="1:5">
      <c r="A28" t="s">
        <v>1643</v>
      </c>
      <c r="B28" t="s">
        <v>1647</v>
      </c>
      <c r="C28">
        <v>1.2151468000000001</v>
      </c>
      <c r="D28" t="s">
        <v>1639</v>
      </c>
      <c r="E28" t="s">
        <v>1640</v>
      </c>
    </row>
    <row r="29" spans="1:5">
      <c r="A29" t="s">
        <v>1643</v>
      </c>
      <c r="B29" t="s">
        <v>1648</v>
      </c>
      <c r="C29">
        <v>1.1195717000000001</v>
      </c>
      <c r="D29" t="s">
        <v>1639</v>
      </c>
      <c r="E29" t="s">
        <v>1640</v>
      </c>
    </row>
    <row r="30" spans="1:5">
      <c r="A30" t="s">
        <v>1643</v>
      </c>
      <c r="B30" t="s">
        <v>1649</v>
      </c>
      <c r="C30">
        <v>0.11030962</v>
      </c>
      <c r="D30" t="s">
        <v>1639</v>
      </c>
      <c r="E30" t="s">
        <v>1640</v>
      </c>
    </row>
    <row r="31" spans="1:5">
      <c r="A31" t="s">
        <v>1643</v>
      </c>
      <c r="B31" t="s">
        <v>1650</v>
      </c>
      <c r="C31">
        <v>3.7388629999999998</v>
      </c>
      <c r="D31" t="s">
        <v>1639</v>
      </c>
      <c r="E31" t="s">
        <v>1640</v>
      </c>
    </row>
    <row r="32" spans="1:5">
      <c r="A32" t="s">
        <v>1643</v>
      </c>
      <c r="B32" t="s">
        <v>1651</v>
      </c>
      <c r="C32">
        <v>0.75524420000000003</v>
      </c>
      <c r="D32" t="s">
        <v>1639</v>
      </c>
      <c r="E32" t="s">
        <v>1640</v>
      </c>
    </row>
    <row r="33" spans="1:6">
      <c r="A33" t="s">
        <v>1643</v>
      </c>
      <c r="B33" t="s">
        <v>2513</v>
      </c>
      <c r="C33">
        <v>3.3375569000000001E-2</v>
      </c>
      <c r="D33" t="s">
        <v>1639</v>
      </c>
      <c r="E33" t="s">
        <v>1640</v>
      </c>
    </row>
    <row r="34" spans="1:6">
      <c r="A34" t="s">
        <v>1653</v>
      </c>
      <c r="B34" t="s">
        <v>2514</v>
      </c>
      <c r="C34">
        <v>3.1071401000000001</v>
      </c>
      <c r="D34" t="s">
        <v>1639</v>
      </c>
      <c r="E34" t="s">
        <v>1640</v>
      </c>
    </row>
    <row r="35" spans="1:6">
      <c r="A35" t="s">
        <v>1654</v>
      </c>
      <c r="B35" t="s">
        <v>1655</v>
      </c>
      <c r="C35">
        <v>0.33194527000000001</v>
      </c>
      <c r="D35" t="s">
        <v>1639</v>
      </c>
      <c r="E35" t="s">
        <v>1640</v>
      </c>
    </row>
    <row r="36" spans="1:6">
      <c r="A36" t="s">
        <v>1654</v>
      </c>
      <c r="B36" t="s">
        <v>1656</v>
      </c>
      <c r="C36">
        <v>2.6140936922065201</v>
      </c>
      <c r="D36" t="s">
        <v>1639</v>
      </c>
      <c r="E36" t="s">
        <v>1641</v>
      </c>
    </row>
    <row r="38" spans="1:6">
      <c r="A38" s="1377" t="s">
        <v>59</v>
      </c>
      <c r="B38" s="1377"/>
      <c r="C38" s="1377"/>
      <c r="D38" s="1377"/>
    </row>
    <row r="39" spans="1:6">
      <c r="A39" s="149" t="s">
        <v>1657</v>
      </c>
      <c r="B39" s="150" t="s">
        <v>1658</v>
      </c>
      <c r="C39" s="151" t="s">
        <v>19</v>
      </c>
      <c r="D39" s="149" t="s">
        <v>1636</v>
      </c>
    </row>
    <row r="40" spans="1:6">
      <c r="A40" s="134" t="s">
        <v>435</v>
      </c>
      <c r="B40" s="135"/>
      <c r="C40" s="136"/>
      <c r="D40" s="134"/>
    </row>
    <row r="41" spans="1:6">
      <c r="A41" s="137" t="s">
        <v>1659</v>
      </c>
      <c r="B41" s="138">
        <v>3.32</v>
      </c>
      <c r="C41" s="139" t="s">
        <v>1660</v>
      </c>
      <c r="D41" s="140" t="s">
        <v>1661</v>
      </c>
    </row>
    <row r="42" spans="1:6">
      <c r="A42" s="137" t="s">
        <v>89</v>
      </c>
      <c r="B42" s="138">
        <v>7.11</v>
      </c>
      <c r="C42" s="139" t="s">
        <v>1660</v>
      </c>
      <c r="D42" s="140" t="s">
        <v>1661</v>
      </c>
    </row>
    <row r="43" spans="1:6">
      <c r="A43" s="137" t="s">
        <v>1662</v>
      </c>
      <c r="B43" s="138">
        <v>6.71</v>
      </c>
      <c r="C43" s="139" t="s">
        <v>1660</v>
      </c>
      <c r="D43" s="140" t="s">
        <v>1661</v>
      </c>
    </row>
    <row r="44" spans="1:6">
      <c r="A44" s="137" t="s">
        <v>1663</v>
      </c>
      <c r="B44" s="138">
        <v>6.37</v>
      </c>
      <c r="C44" s="139" t="s">
        <v>1660</v>
      </c>
      <c r="D44" s="140" t="s">
        <v>1661</v>
      </c>
    </row>
    <row r="45" spans="1:6" ht="15" thickBot="1">
      <c r="A45" s="137" t="s">
        <v>1664</v>
      </c>
      <c r="B45" s="138">
        <v>6.15</v>
      </c>
      <c r="C45" s="139" t="s">
        <v>1660</v>
      </c>
      <c r="D45" s="140" t="s">
        <v>1661</v>
      </c>
    </row>
    <row r="46" spans="1:6">
      <c r="A46" s="137" t="s">
        <v>1665</v>
      </c>
      <c r="B46" s="138">
        <v>7.15</v>
      </c>
      <c r="C46" s="139" t="s">
        <v>1660</v>
      </c>
      <c r="D46" s="140" t="s">
        <v>1661</v>
      </c>
      <c r="F46" s="459" t="s">
        <v>1666</v>
      </c>
    </row>
    <row r="47" spans="1:6" ht="15" thickBot="1">
      <c r="A47" s="137" t="s">
        <v>1667</v>
      </c>
      <c r="B47" s="138">
        <v>7</v>
      </c>
      <c r="C47" s="139" t="s">
        <v>1660</v>
      </c>
      <c r="D47" s="140" t="s">
        <v>1661</v>
      </c>
      <c r="F47" s="460">
        <f>AVERAGE(B41:B80)</f>
        <v>5.6652500000000021</v>
      </c>
    </row>
    <row r="48" spans="1:6">
      <c r="A48" s="137" t="s">
        <v>1668</v>
      </c>
      <c r="B48" s="138">
        <v>6.77</v>
      </c>
      <c r="C48" s="139" t="s">
        <v>1660</v>
      </c>
      <c r="D48" s="140" t="s">
        <v>1661</v>
      </c>
    </row>
    <row r="49" spans="1:4">
      <c r="A49" s="137" t="s">
        <v>1669</v>
      </c>
      <c r="B49" s="138">
        <v>6.12</v>
      </c>
      <c r="C49" s="139" t="s">
        <v>1660</v>
      </c>
      <c r="D49" s="140" t="s">
        <v>1661</v>
      </c>
    </row>
    <row r="50" spans="1:4">
      <c r="A50" s="137" t="s">
        <v>1670</v>
      </c>
      <c r="B50" s="138">
        <v>9.67</v>
      </c>
      <c r="C50" s="139" t="s">
        <v>1660</v>
      </c>
      <c r="D50" s="140" t="s">
        <v>1661</v>
      </c>
    </row>
    <row r="51" spans="1:4">
      <c r="A51" s="137" t="s">
        <v>1671</v>
      </c>
      <c r="B51" s="138">
        <v>3.52</v>
      </c>
      <c r="C51" s="139" t="s">
        <v>1660</v>
      </c>
      <c r="D51" s="140" t="s">
        <v>1661</v>
      </c>
    </row>
    <row r="52" spans="1:4">
      <c r="A52" s="137" t="s">
        <v>1672</v>
      </c>
      <c r="B52" s="138">
        <v>7.34</v>
      </c>
      <c r="C52" s="139" t="s">
        <v>1660</v>
      </c>
      <c r="D52" s="140" t="s">
        <v>1661</v>
      </c>
    </row>
    <row r="53" spans="1:4">
      <c r="A53" s="137" t="s">
        <v>1673</v>
      </c>
      <c r="B53" s="138">
        <v>6.93</v>
      </c>
      <c r="C53" s="139" t="s">
        <v>1660</v>
      </c>
      <c r="D53" s="140" t="s">
        <v>1661</v>
      </c>
    </row>
    <row r="54" spans="1:4">
      <c r="A54" s="137" t="s">
        <v>1674</v>
      </c>
      <c r="B54" s="138">
        <v>6.59</v>
      </c>
      <c r="C54" s="139" t="s">
        <v>1660</v>
      </c>
      <c r="D54" s="140" t="s">
        <v>1661</v>
      </c>
    </row>
    <row r="55" spans="1:4">
      <c r="A55" s="137" t="s">
        <v>1675</v>
      </c>
      <c r="B55" s="138">
        <v>6.38</v>
      </c>
      <c r="C55" s="139" t="s">
        <v>1660</v>
      </c>
      <c r="D55" s="140" t="s">
        <v>1661</v>
      </c>
    </row>
    <row r="56" spans="1:4">
      <c r="A56" s="137" t="s">
        <v>1676</v>
      </c>
      <c r="B56" s="138">
        <v>7.39</v>
      </c>
      <c r="C56" s="139" t="s">
        <v>1660</v>
      </c>
      <c r="D56" s="140" t="s">
        <v>1661</v>
      </c>
    </row>
    <row r="57" spans="1:4">
      <c r="A57" s="137" t="s">
        <v>1677</v>
      </c>
      <c r="B57" s="138">
        <v>7.25</v>
      </c>
      <c r="C57" s="139" t="s">
        <v>1660</v>
      </c>
      <c r="D57" s="140" t="s">
        <v>1661</v>
      </c>
    </row>
    <row r="58" spans="1:4">
      <c r="A58" s="137" t="s">
        <v>1678</v>
      </c>
      <c r="B58" s="138">
        <v>7.05</v>
      </c>
      <c r="C58" s="139" t="s">
        <v>1660</v>
      </c>
      <c r="D58" s="140" t="s">
        <v>1661</v>
      </c>
    </row>
    <row r="59" spans="1:4">
      <c r="A59" s="137" t="s">
        <v>1679</v>
      </c>
      <c r="B59" s="138">
        <v>6.38</v>
      </c>
      <c r="C59" s="139" t="s">
        <v>1660</v>
      </c>
      <c r="D59" s="140" t="s">
        <v>1661</v>
      </c>
    </row>
    <row r="60" spans="1:4">
      <c r="A60" s="137" t="s">
        <v>1680</v>
      </c>
      <c r="B60" s="138">
        <v>9.9700000000000006</v>
      </c>
      <c r="C60" s="139" t="s">
        <v>1660</v>
      </c>
      <c r="D60" s="140" t="s">
        <v>1661</v>
      </c>
    </row>
    <row r="61" spans="1:4">
      <c r="A61" s="137" t="s">
        <v>1681</v>
      </c>
      <c r="B61" s="138">
        <v>3.5</v>
      </c>
      <c r="C61" s="139" t="s">
        <v>1660</v>
      </c>
      <c r="D61" s="140" t="s">
        <v>1661</v>
      </c>
    </row>
    <row r="62" spans="1:4">
      <c r="A62" s="137" t="s">
        <v>1682</v>
      </c>
      <c r="B62" s="138">
        <v>4</v>
      </c>
      <c r="C62" s="139" t="s">
        <v>1660</v>
      </c>
      <c r="D62" s="140" t="s">
        <v>1661</v>
      </c>
    </row>
    <row r="63" spans="1:4">
      <c r="A63" s="137" t="s">
        <v>1683</v>
      </c>
      <c r="B63" s="138">
        <v>3.78</v>
      </c>
      <c r="C63" s="139" t="s">
        <v>1660</v>
      </c>
      <c r="D63" s="140" t="s">
        <v>1661</v>
      </c>
    </row>
    <row r="64" spans="1:4">
      <c r="A64" s="137" t="s">
        <v>1684</v>
      </c>
      <c r="B64" s="138">
        <v>3.8</v>
      </c>
      <c r="C64" s="139" t="s">
        <v>1660</v>
      </c>
      <c r="D64" s="140" t="s">
        <v>1661</v>
      </c>
    </row>
    <row r="65" spans="1:4">
      <c r="A65" s="137" t="s">
        <v>1685</v>
      </c>
      <c r="B65" s="138">
        <v>3.61</v>
      </c>
      <c r="C65" s="139" t="s">
        <v>1660</v>
      </c>
      <c r="D65" s="140" t="s">
        <v>1661</v>
      </c>
    </row>
    <row r="66" spans="1:4">
      <c r="A66" s="137" t="s">
        <v>1686</v>
      </c>
      <c r="B66" s="138">
        <v>3.63</v>
      </c>
      <c r="C66" s="139" t="s">
        <v>1660</v>
      </c>
      <c r="D66" s="140" t="s">
        <v>1661</v>
      </c>
    </row>
    <row r="67" spans="1:4">
      <c r="A67" s="137" t="s">
        <v>1687</v>
      </c>
      <c r="B67" s="138">
        <v>3.62</v>
      </c>
      <c r="C67" s="139" t="s">
        <v>1660</v>
      </c>
      <c r="D67" s="140" t="s">
        <v>1661</v>
      </c>
    </row>
    <row r="68" spans="1:4">
      <c r="A68" s="137" t="s">
        <v>1688</v>
      </c>
      <c r="B68" s="138">
        <v>4.3600000000000003</v>
      </c>
      <c r="C68" s="139" t="s">
        <v>1660</v>
      </c>
      <c r="D68" s="140" t="s">
        <v>1661</v>
      </c>
    </row>
    <row r="69" spans="1:4">
      <c r="A69" s="137" t="s">
        <v>1689</v>
      </c>
      <c r="B69" s="138">
        <v>3.23</v>
      </c>
      <c r="C69" s="139" t="s">
        <v>1660</v>
      </c>
      <c r="D69" s="140" t="s">
        <v>1661</v>
      </c>
    </row>
    <row r="70" spans="1:4">
      <c r="A70" s="137" t="s">
        <v>1690</v>
      </c>
      <c r="B70" s="138">
        <v>5.33</v>
      </c>
      <c r="C70" s="139" t="s">
        <v>1660</v>
      </c>
      <c r="D70" s="140" t="s">
        <v>1661</v>
      </c>
    </row>
    <row r="71" spans="1:4">
      <c r="A71" s="137" t="s">
        <v>1691</v>
      </c>
      <c r="B71" s="138">
        <v>3.4</v>
      </c>
      <c r="C71" s="139" t="s">
        <v>1660</v>
      </c>
      <c r="D71" s="140" t="s">
        <v>1661</v>
      </c>
    </row>
    <row r="72" spans="1:4">
      <c r="A72" s="137" t="s">
        <v>1692</v>
      </c>
      <c r="B72" s="138">
        <v>5.56</v>
      </c>
      <c r="C72" s="139" t="s">
        <v>1660</v>
      </c>
      <c r="D72" s="140" t="s">
        <v>1661</v>
      </c>
    </row>
    <row r="73" spans="1:4">
      <c r="A73" s="137" t="s">
        <v>1693</v>
      </c>
      <c r="B73" s="138">
        <v>5.24</v>
      </c>
      <c r="C73" s="139" t="s">
        <v>1660</v>
      </c>
      <c r="D73" s="140" t="s">
        <v>1661</v>
      </c>
    </row>
    <row r="74" spans="1:4">
      <c r="A74" s="137" t="s">
        <v>1694</v>
      </c>
      <c r="B74" s="138">
        <v>5.09</v>
      </c>
      <c r="C74" s="139" t="s">
        <v>1660</v>
      </c>
      <c r="D74" s="140" t="s">
        <v>1661</v>
      </c>
    </row>
    <row r="75" spans="1:4">
      <c r="A75" s="137" t="s">
        <v>1695</v>
      </c>
      <c r="B75" s="138">
        <v>4.8899999999999997</v>
      </c>
      <c r="C75" s="139" t="s">
        <v>1660</v>
      </c>
      <c r="D75" s="140" t="s">
        <v>1661</v>
      </c>
    </row>
    <row r="76" spans="1:4">
      <c r="A76" s="137" t="s">
        <v>1696</v>
      </c>
      <c r="B76" s="138">
        <v>5.27</v>
      </c>
      <c r="C76" s="139" t="s">
        <v>1660</v>
      </c>
      <c r="D76" s="140" t="s">
        <v>1661</v>
      </c>
    </row>
    <row r="77" spans="1:4">
      <c r="A77" s="137" t="s">
        <v>1697</v>
      </c>
      <c r="B77" s="138">
        <v>5.33</v>
      </c>
      <c r="C77" s="139" t="s">
        <v>1660</v>
      </c>
      <c r="D77" s="140" t="s">
        <v>1661</v>
      </c>
    </row>
    <row r="78" spans="1:4">
      <c r="A78" s="137" t="s">
        <v>1698</v>
      </c>
      <c r="B78" s="138">
        <v>5.59</v>
      </c>
      <c r="C78" s="139" t="s">
        <v>1660</v>
      </c>
      <c r="D78" s="140" t="s">
        <v>1661</v>
      </c>
    </row>
    <row r="79" spans="1:4">
      <c r="A79" s="137" t="s">
        <v>1699</v>
      </c>
      <c r="B79" s="138">
        <v>4.6900000000000004</v>
      </c>
      <c r="C79" s="139" t="s">
        <v>1660</v>
      </c>
      <c r="D79" s="140" t="s">
        <v>1661</v>
      </c>
    </row>
    <row r="80" spans="1:4">
      <c r="A80" s="137" t="s">
        <v>1700</v>
      </c>
      <c r="B80" s="138">
        <v>7.52</v>
      </c>
      <c r="C80" s="139" t="s">
        <v>1660</v>
      </c>
      <c r="D80" s="140" t="s">
        <v>1661</v>
      </c>
    </row>
    <row r="81" spans="1:4">
      <c r="A81" s="141" t="s">
        <v>1701</v>
      </c>
      <c r="B81" s="142">
        <f>1.24/0.335</f>
        <v>3.7014925373134324</v>
      </c>
      <c r="C81" s="143" t="s">
        <v>1702</v>
      </c>
      <c r="D81" s="141" t="s">
        <v>1703</v>
      </c>
    </row>
    <row r="82" spans="1:4">
      <c r="A82" s="141" t="s">
        <v>1704</v>
      </c>
      <c r="B82" s="142">
        <f>1.04/0.27</f>
        <v>3.8518518518518516</v>
      </c>
      <c r="C82" s="143" t="s">
        <v>1702</v>
      </c>
      <c r="D82" s="141" t="s">
        <v>1705</v>
      </c>
    </row>
    <row r="83" spans="1:4">
      <c r="A83" s="141" t="s">
        <v>1706</v>
      </c>
      <c r="B83" s="142">
        <f>1.06/0.3</f>
        <v>3.5333333333333337</v>
      </c>
      <c r="C83" s="143" t="s">
        <v>1702</v>
      </c>
      <c r="D83" s="141" t="s">
        <v>1707</v>
      </c>
    </row>
    <row r="84" spans="1:4">
      <c r="A84" s="141" t="s">
        <v>1708</v>
      </c>
      <c r="B84" s="142">
        <f>1.52/0.46</f>
        <v>3.3043478260869565</v>
      </c>
      <c r="C84" s="143" t="s">
        <v>1702</v>
      </c>
      <c r="D84" s="141" t="s">
        <v>1709</v>
      </c>
    </row>
    <row r="85" spans="1:4">
      <c r="A85" s="141" t="s">
        <v>1710</v>
      </c>
      <c r="B85" s="142">
        <f>0.65/0.155</f>
        <v>4.193548387096774</v>
      </c>
      <c r="C85" s="143" t="s">
        <v>1702</v>
      </c>
      <c r="D85" s="144" t="s">
        <v>1711</v>
      </c>
    </row>
    <row r="86" spans="1:4">
      <c r="A86" s="141" t="s">
        <v>1712</v>
      </c>
      <c r="B86" s="142">
        <f>0.8*100/15</f>
        <v>5.333333333333333</v>
      </c>
      <c r="C86" s="143" t="s">
        <v>1702</v>
      </c>
      <c r="D86" s="145" t="s">
        <v>1713</v>
      </c>
    </row>
    <row r="87" spans="1:4">
      <c r="A87" s="137" t="s">
        <v>1714</v>
      </c>
      <c r="B87" s="138">
        <v>2.7238094999999998</v>
      </c>
      <c r="C87" s="139" t="s">
        <v>1702</v>
      </c>
      <c r="D87" s="137" t="s">
        <v>1715</v>
      </c>
    </row>
    <row r="88" spans="1:4">
      <c r="A88" s="137" t="s">
        <v>1716</v>
      </c>
      <c r="B88" s="138">
        <v>3.1615385000000003</v>
      </c>
      <c r="C88" s="139" t="s">
        <v>1702</v>
      </c>
      <c r="D88" s="137" t="s">
        <v>1715</v>
      </c>
    </row>
    <row r="89" spans="1:4">
      <c r="A89" s="137" t="s">
        <v>1717</v>
      </c>
      <c r="B89" s="138">
        <v>4.3483871000000001</v>
      </c>
      <c r="C89" s="139" t="s">
        <v>1702</v>
      </c>
      <c r="D89" s="137" t="s">
        <v>1715</v>
      </c>
    </row>
    <row r="90" spans="1:4">
      <c r="A90" s="137" t="s">
        <v>1718</v>
      </c>
      <c r="B90" s="138">
        <v>5.8806000000000003</v>
      </c>
      <c r="C90" s="139" t="s">
        <v>1702</v>
      </c>
      <c r="D90" s="137" t="s">
        <v>1719</v>
      </c>
    </row>
    <row r="91" spans="1:4">
      <c r="A91" s="146" t="s">
        <v>1720</v>
      </c>
      <c r="B91" s="142"/>
      <c r="C91" s="143"/>
      <c r="D91" s="145"/>
    </row>
    <row r="92" spans="1:4">
      <c r="A92" s="137" t="s">
        <v>1721</v>
      </c>
      <c r="B92" s="138">
        <v>0.54200000000000004</v>
      </c>
      <c r="C92" s="139" t="s">
        <v>1722</v>
      </c>
      <c r="D92" s="147" t="s">
        <v>1715</v>
      </c>
    </row>
    <row r="93" spans="1:4">
      <c r="A93" s="137" t="s">
        <v>1723</v>
      </c>
      <c r="B93" s="138">
        <v>9.5000000000000001E-2</v>
      </c>
      <c r="C93" s="139" t="s">
        <v>1722</v>
      </c>
      <c r="D93" s="147" t="s">
        <v>1724</v>
      </c>
    </row>
    <row r="94" spans="1:4">
      <c r="A94" s="137" t="s">
        <v>1725</v>
      </c>
      <c r="B94" s="138">
        <v>1.024</v>
      </c>
      <c r="C94" s="139" t="s">
        <v>1722</v>
      </c>
      <c r="D94" s="137" t="s">
        <v>1715</v>
      </c>
    </row>
    <row r="95" spans="1:4">
      <c r="A95" s="137" t="s">
        <v>93</v>
      </c>
      <c r="B95" s="138">
        <v>1.5449999999999999</v>
      </c>
      <c r="C95" s="139" t="s">
        <v>1722</v>
      </c>
      <c r="D95" s="137" t="s">
        <v>1715</v>
      </c>
    </row>
    <row r="96" spans="1:4">
      <c r="A96" s="137" t="s">
        <v>1726</v>
      </c>
      <c r="B96" s="138">
        <f>AVERAGE(B92:B95)</f>
        <v>0.80149999999999999</v>
      </c>
      <c r="C96" s="139" t="s">
        <v>1722</v>
      </c>
      <c r="D96" s="137" t="s">
        <v>1727</v>
      </c>
    </row>
    <row r="97" spans="1:13">
      <c r="A97" s="134" t="s">
        <v>1728</v>
      </c>
      <c r="B97" s="138"/>
      <c r="C97" s="139"/>
      <c r="D97" s="137"/>
    </row>
    <row r="98" spans="1:13">
      <c r="A98" s="137" t="s">
        <v>1729</v>
      </c>
      <c r="B98" s="138">
        <v>0.41333330000000001</v>
      </c>
      <c r="C98" s="139" t="s">
        <v>1730</v>
      </c>
      <c r="D98" s="137" t="s">
        <v>1715</v>
      </c>
    </row>
    <row r="99" spans="1:13">
      <c r="A99" s="137" t="s">
        <v>97</v>
      </c>
      <c r="B99" s="138">
        <v>0.57610000000000006</v>
      </c>
      <c r="C99" s="139" t="s">
        <v>1730</v>
      </c>
      <c r="D99" s="137" t="s">
        <v>1715</v>
      </c>
    </row>
    <row r="100" spans="1:13">
      <c r="A100" s="134" t="s">
        <v>1731</v>
      </c>
    </row>
    <row r="101" spans="1:13">
      <c r="A101" s="137" t="s">
        <v>1732</v>
      </c>
      <c r="B101" s="138">
        <v>0.76900000000000002</v>
      </c>
      <c r="C101" s="139" t="s">
        <v>1733</v>
      </c>
      <c r="D101" s="137" t="s">
        <v>1724</v>
      </c>
    </row>
    <row r="102" spans="1:13">
      <c r="A102" s="137" t="s">
        <v>1734</v>
      </c>
      <c r="B102" s="138">
        <v>0.1295</v>
      </c>
      <c r="C102" s="139" t="s">
        <v>1735</v>
      </c>
      <c r="D102" s="137" t="s">
        <v>1715</v>
      </c>
    </row>
    <row r="103" spans="1:13">
      <c r="A103" s="137" t="s">
        <v>101</v>
      </c>
      <c r="B103" s="148">
        <v>1.62</v>
      </c>
      <c r="C103" s="139" t="s">
        <v>1736</v>
      </c>
      <c r="D103" s="137" t="s">
        <v>1715</v>
      </c>
    </row>
    <row r="106" spans="1:13">
      <c r="A106" s="1396" t="s">
        <v>1737</v>
      </c>
      <c r="B106" s="1396"/>
      <c r="C106" s="1396"/>
      <c r="D106" s="1396"/>
      <c r="J106" s="1" t="s">
        <v>1738</v>
      </c>
      <c r="K106" s="1" t="s">
        <v>1739</v>
      </c>
      <c r="L106" s="1" t="s">
        <v>1740</v>
      </c>
      <c r="M106" s="1" t="s">
        <v>88</v>
      </c>
    </row>
    <row r="107" spans="1:13">
      <c r="A107" s="838" t="s">
        <v>1741</v>
      </c>
      <c r="B107" s="839" t="s">
        <v>1742</v>
      </c>
      <c r="C107" s="839" t="s">
        <v>612</v>
      </c>
      <c r="D107" s="838" t="s">
        <v>1743</v>
      </c>
      <c r="J107" s="845" t="s">
        <v>434</v>
      </c>
      <c r="K107" s="260"/>
      <c r="L107" s="260"/>
    </row>
    <row r="108" spans="1:13">
      <c r="A108" s="840" t="s">
        <v>1744</v>
      </c>
      <c r="B108" s="841">
        <v>94</v>
      </c>
      <c r="C108" s="842">
        <f t="shared" ref="C108:C124" si="0">B108*0.023</f>
        <v>2.1619999999999999</v>
      </c>
      <c r="D108" s="840" t="s">
        <v>1745</v>
      </c>
      <c r="J108" t="s">
        <v>1746</v>
      </c>
      <c r="K108" t="s">
        <v>1747</v>
      </c>
      <c r="L108">
        <v>0.32924999999999999</v>
      </c>
      <c r="M108" t="s">
        <v>1617</v>
      </c>
    </row>
    <row r="109" spans="1:13">
      <c r="A109" s="840" t="s">
        <v>1748</v>
      </c>
      <c r="B109" s="841">
        <v>188.65</v>
      </c>
      <c r="C109" s="842">
        <f t="shared" si="0"/>
        <v>4.3389499999999996</v>
      </c>
      <c r="D109" s="840" t="s">
        <v>1749</v>
      </c>
      <c r="J109" t="s">
        <v>1750</v>
      </c>
      <c r="K109" t="s">
        <v>1751</v>
      </c>
      <c r="L109">
        <v>0.20550000000000002</v>
      </c>
      <c r="M109" t="s">
        <v>1623</v>
      </c>
    </row>
    <row r="110" spans="1:13">
      <c r="A110" s="840" t="s">
        <v>1752</v>
      </c>
      <c r="B110" s="841">
        <v>433.6</v>
      </c>
      <c r="C110" s="842">
        <f t="shared" si="0"/>
        <v>9.9728000000000012</v>
      </c>
      <c r="D110" s="840" t="s">
        <v>1745</v>
      </c>
      <c r="J110" t="s">
        <v>1753</v>
      </c>
      <c r="K110" t="s">
        <v>1754</v>
      </c>
      <c r="L110">
        <v>0.32966999999999996</v>
      </c>
      <c r="M110" t="s">
        <v>1617</v>
      </c>
    </row>
    <row r="111" spans="1:13">
      <c r="A111" s="840" t="s">
        <v>1755</v>
      </c>
      <c r="B111" s="841">
        <v>344.2</v>
      </c>
      <c r="C111" s="842">
        <f t="shared" si="0"/>
        <v>7.9165999999999999</v>
      </c>
      <c r="D111" s="840" t="s">
        <v>1745</v>
      </c>
      <c r="J111" t="s">
        <v>1756</v>
      </c>
      <c r="K111" t="s">
        <v>1757</v>
      </c>
      <c r="L111">
        <v>8.2500000000000004E-2</v>
      </c>
      <c r="M111" t="s">
        <v>1623</v>
      </c>
    </row>
    <row r="112" spans="1:13">
      <c r="A112" s="840" t="s">
        <v>1758</v>
      </c>
      <c r="B112" s="841">
        <v>295</v>
      </c>
      <c r="C112" s="842">
        <f t="shared" si="0"/>
        <v>6.7850000000000001</v>
      </c>
      <c r="D112" s="840" t="s">
        <v>1745</v>
      </c>
      <c r="J112" t="s">
        <v>1759</v>
      </c>
      <c r="K112" t="s">
        <v>1760</v>
      </c>
      <c r="L112">
        <v>0.57599999999999996</v>
      </c>
      <c r="M112" t="s">
        <v>1617</v>
      </c>
    </row>
    <row r="113" spans="1:14">
      <c r="A113" s="840" t="s">
        <v>1761</v>
      </c>
      <c r="B113" s="841">
        <v>400</v>
      </c>
      <c r="C113" s="842">
        <f t="shared" si="0"/>
        <v>9.1999999999999993</v>
      </c>
      <c r="D113" s="840" t="s">
        <v>1745</v>
      </c>
      <c r="J113" t="s">
        <v>1762</v>
      </c>
      <c r="K113" t="s">
        <v>1763</v>
      </c>
      <c r="L113">
        <v>0.16500000000000001</v>
      </c>
      <c r="M113" t="s">
        <v>1623</v>
      </c>
    </row>
    <row r="114" spans="1:14">
      <c r="A114" s="840" t="s">
        <v>1764</v>
      </c>
      <c r="B114" s="841">
        <v>274.5</v>
      </c>
      <c r="C114" s="842">
        <f t="shared" si="0"/>
        <v>6.3135000000000003</v>
      </c>
      <c r="D114" s="840" t="s">
        <v>1745</v>
      </c>
      <c r="J114" t="s">
        <v>130</v>
      </c>
      <c r="K114" t="s">
        <v>1765</v>
      </c>
      <c r="L114">
        <v>0.23100000000000001</v>
      </c>
      <c r="M114" t="s">
        <v>1623</v>
      </c>
    </row>
    <row r="115" spans="1:14">
      <c r="A115" s="840" t="s">
        <v>1766</v>
      </c>
      <c r="B115" s="841">
        <v>518</v>
      </c>
      <c r="C115" s="842">
        <f t="shared" si="0"/>
        <v>11.914</v>
      </c>
      <c r="D115" s="840" t="s">
        <v>1745</v>
      </c>
      <c r="J115" s="845" t="s">
        <v>431</v>
      </c>
      <c r="K115" s="260"/>
      <c r="L115" s="260"/>
    </row>
    <row r="116" spans="1:14">
      <c r="A116" s="840" t="s">
        <v>1767</v>
      </c>
      <c r="B116" s="841">
        <v>267.5</v>
      </c>
      <c r="C116" s="842">
        <f t="shared" si="0"/>
        <v>6.1524999999999999</v>
      </c>
      <c r="D116" s="840" t="s">
        <v>1745</v>
      </c>
      <c r="J116" t="s">
        <v>1768</v>
      </c>
      <c r="K116" t="s">
        <v>1769</v>
      </c>
      <c r="L116">
        <v>1.296</v>
      </c>
      <c r="M116" t="s">
        <v>1582</v>
      </c>
      <c r="N116" s="910"/>
    </row>
    <row r="117" spans="1:14">
      <c r="A117" s="840" t="s">
        <v>1770</v>
      </c>
      <c r="B117" s="841">
        <v>453.5</v>
      </c>
      <c r="C117" s="842">
        <f t="shared" si="0"/>
        <v>10.4305</v>
      </c>
      <c r="D117" s="840" t="s">
        <v>1745</v>
      </c>
      <c r="J117" t="s">
        <v>1771</v>
      </c>
      <c r="K117" t="s">
        <v>1772</v>
      </c>
      <c r="L117">
        <v>0.97040000000000004</v>
      </c>
      <c r="M117" t="s">
        <v>1624</v>
      </c>
      <c r="N117" s="910"/>
    </row>
    <row r="118" spans="1:14">
      <c r="A118" s="840" t="s">
        <v>1773</v>
      </c>
      <c r="B118" s="841">
        <v>324.10000000000002</v>
      </c>
      <c r="C118" s="842">
        <f t="shared" si="0"/>
        <v>7.4543000000000008</v>
      </c>
      <c r="D118" s="840" t="s">
        <v>1749</v>
      </c>
      <c r="H118" s="75"/>
      <c r="J118" t="s">
        <v>1774</v>
      </c>
      <c r="K118" t="s">
        <v>1775</v>
      </c>
      <c r="L118">
        <v>4.6339999999999995</v>
      </c>
      <c r="M118" t="s">
        <v>1617</v>
      </c>
    </row>
    <row r="119" spans="1:14">
      <c r="A119" s="840" t="s">
        <v>1776</v>
      </c>
      <c r="B119" s="841">
        <v>365.4</v>
      </c>
      <c r="C119" s="842">
        <f t="shared" si="0"/>
        <v>8.4041999999999994</v>
      </c>
      <c r="D119" s="840" t="s">
        <v>1749</v>
      </c>
      <c r="J119" t="s">
        <v>1777</v>
      </c>
      <c r="K119" t="s">
        <v>1778</v>
      </c>
      <c r="L119">
        <v>0.33100000000000002</v>
      </c>
      <c r="M119" t="s">
        <v>1623</v>
      </c>
    </row>
    <row r="120" spans="1:14">
      <c r="A120" s="840" t="s">
        <v>1779</v>
      </c>
      <c r="B120" s="841">
        <v>289.7</v>
      </c>
      <c r="C120" s="842">
        <f t="shared" si="0"/>
        <v>6.6631</v>
      </c>
      <c r="D120" s="840" t="s">
        <v>1745</v>
      </c>
      <c r="J120" t="s">
        <v>1780</v>
      </c>
      <c r="K120" t="s">
        <v>1781</v>
      </c>
      <c r="L120">
        <v>3.2591999999999999</v>
      </c>
      <c r="M120" t="s">
        <v>1582</v>
      </c>
    </row>
    <row r="121" spans="1:14">
      <c r="A121" s="840" t="s">
        <v>1782</v>
      </c>
      <c r="B121" s="841">
        <v>128.85</v>
      </c>
      <c r="C121" s="842">
        <f t="shared" si="0"/>
        <v>2.9635499999999997</v>
      </c>
      <c r="D121" s="840" t="s">
        <v>1745</v>
      </c>
      <c r="J121" t="s">
        <v>1783</v>
      </c>
      <c r="K121" t="s">
        <v>1784</v>
      </c>
      <c r="L121">
        <v>3.7547999999999999</v>
      </c>
      <c r="M121" t="s">
        <v>1623</v>
      </c>
    </row>
    <row r="122" spans="1:14">
      <c r="A122" s="840" t="s">
        <v>1785</v>
      </c>
      <c r="B122" s="841">
        <v>219.9</v>
      </c>
      <c r="C122" s="842">
        <f t="shared" si="0"/>
        <v>5.0576999999999996</v>
      </c>
      <c r="D122" s="840" t="s">
        <v>1745</v>
      </c>
      <c r="J122" t="s">
        <v>1786</v>
      </c>
      <c r="K122" t="s">
        <v>1787</v>
      </c>
      <c r="L122">
        <v>2.2110799999999999</v>
      </c>
      <c r="M122" t="s">
        <v>1611</v>
      </c>
    </row>
    <row r="123" spans="1:14">
      <c r="A123" s="840" t="s">
        <v>1788</v>
      </c>
      <c r="B123" s="841">
        <v>244</v>
      </c>
      <c r="C123" s="842">
        <f t="shared" si="0"/>
        <v>5.6120000000000001</v>
      </c>
      <c r="D123" s="840" t="s">
        <v>1745</v>
      </c>
      <c r="G123" s="75"/>
      <c r="J123" t="s">
        <v>1789</v>
      </c>
      <c r="K123" t="s">
        <v>1790</v>
      </c>
      <c r="L123">
        <v>4.7856000000000005</v>
      </c>
      <c r="M123" t="s">
        <v>1617</v>
      </c>
    </row>
    <row r="124" spans="1:14">
      <c r="A124" s="840" t="s">
        <v>1791</v>
      </c>
      <c r="B124" s="841">
        <v>275.8</v>
      </c>
      <c r="C124" s="842">
        <f t="shared" si="0"/>
        <v>6.3433999999999999</v>
      </c>
      <c r="D124" s="840" t="s">
        <v>1749</v>
      </c>
      <c r="J124" t="s">
        <v>1792</v>
      </c>
      <c r="K124" t="s">
        <v>1793</v>
      </c>
      <c r="L124">
        <v>0.38395999999999997</v>
      </c>
      <c r="M124" t="s">
        <v>1624</v>
      </c>
    </row>
    <row r="125" spans="1:14">
      <c r="A125" s="840" t="s">
        <v>1794</v>
      </c>
      <c r="B125" s="843"/>
      <c r="C125" s="844">
        <v>6.6223899999999984</v>
      </c>
      <c r="D125" s="843"/>
      <c r="J125" t="s">
        <v>111</v>
      </c>
      <c r="K125" t="s">
        <v>1790</v>
      </c>
      <c r="L125">
        <v>4.7856000000000005</v>
      </c>
      <c r="M125" t="s">
        <v>1795</v>
      </c>
    </row>
    <row r="126" spans="1:14">
      <c r="A126" s="840" t="s">
        <v>1796</v>
      </c>
      <c r="B126" s="841">
        <v>290</v>
      </c>
      <c r="C126" s="842">
        <f>B126*0.023</f>
        <v>6.67</v>
      </c>
      <c r="D126" s="840" t="s">
        <v>1749</v>
      </c>
      <c r="J126" t="s">
        <v>1797</v>
      </c>
      <c r="K126" t="s">
        <v>1798</v>
      </c>
      <c r="L126">
        <v>5.0841599999999998</v>
      </c>
      <c r="M126" t="s">
        <v>1617</v>
      </c>
    </row>
    <row r="127" spans="1:14">
      <c r="A127" s="840" t="s">
        <v>1799</v>
      </c>
      <c r="B127" s="841">
        <v>150.9</v>
      </c>
      <c r="C127" s="842">
        <f>B127*0.023</f>
        <v>3.4706999999999999</v>
      </c>
      <c r="D127" s="840" t="s">
        <v>1749</v>
      </c>
      <c r="J127" t="s">
        <v>1800</v>
      </c>
      <c r="K127" t="s">
        <v>1801</v>
      </c>
      <c r="L127">
        <v>5.2960000000000003</v>
      </c>
      <c r="M127" t="s">
        <v>1623</v>
      </c>
    </row>
    <row r="128" spans="1:14">
      <c r="A128" s="840" t="s">
        <v>1802</v>
      </c>
      <c r="B128" s="841">
        <v>201</v>
      </c>
      <c r="C128" s="842">
        <f>B128*0.023</f>
        <v>4.6230000000000002</v>
      </c>
      <c r="D128" s="840" t="s">
        <v>1745</v>
      </c>
      <c r="J128" t="s">
        <v>1803</v>
      </c>
      <c r="K128" t="s">
        <v>1804</v>
      </c>
      <c r="L128">
        <v>3.5748000000000002</v>
      </c>
      <c r="M128" t="s">
        <v>1623</v>
      </c>
    </row>
    <row r="129" spans="1:13">
      <c r="A129" s="1396" t="s">
        <v>1805</v>
      </c>
      <c r="B129" s="1396"/>
      <c r="C129" s="1396"/>
      <c r="D129" s="1396"/>
      <c r="J129" t="s">
        <v>1806</v>
      </c>
      <c r="K129" t="s">
        <v>1807</v>
      </c>
      <c r="L129">
        <v>4.9649999999999999</v>
      </c>
      <c r="M129" t="s">
        <v>1617</v>
      </c>
    </row>
    <row r="130" spans="1:13">
      <c r="A130" s="838" t="s">
        <v>1741</v>
      </c>
      <c r="B130" s="839" t="s">
        <v>1742</v>
      </c>
      <c r="C130" s="839" t="s">
        <v>612</v>
      </c>
      <c r="D130" s="838" t="s">
        <v>1743</v>
      </c>
      <c r="J130" t="s">
        <v>1808</v>
      </c>
      <c r="K130" t="s">
        <v>1809</v>
      </c>
      <c r="L130">
        <v>3.31</v>
      </c>
      <c r="M130" t="s">
        <v>1617</v>
      </c>
    </row>
    <row r="131" spans="1:13">
      <c r="A131" s="840" t="s">
        <v>1810</v>
      </c>
      <c r="B131" s="841">
        <v>244</v>
      </c>
      <c r="C131" s="842">
        <f t="shared" ref="C131:C137" si="1">B131*0.023</f>
        <v>5.6120000000000001</v>
      </c>
      <c r="D131" s="840" t="s">
        <v>1745</v>
      </c>
      <c r="J131" t="s">
        <v>1811</v>
      </c>
      <c r="K131" t="s">
        <v>1812</v>
      </c>
      <c r="L131">
        <v>2.7539199999999999</v>
      </c>
      <c r="M131" t="s">
        <v>1617</v>
      </c>
    </row>
    <row r="132" spans="1:13">
      <c r="A132" s="840" t="s">
        <v>1813</v>
      </c>
      <c r="B132" s="841">
        <v>209</v>
      </c>
      <c r="C132" s="842">
        <f t="shared" si="1"/>
        <v>4.8069999999999995</v>
      </c>
      <c r="D132" s="840" t="s">
        <v>1749</v>
      </c>
      <c r="J132" t="s">
        <v>1814</v>
      </c>
      <c r="K132" t="s">
        <v>1815</v>
      </c>
      <c r="L132">
        <v>3.3100000000000005</v>
      </c>
      <c r="M132" t="s">
        <v>1624</v>
      </c>
    </row>
    <row r="133" spans="1:13">
      <c r="A133" s="840" t="s">
        <v>1816</v>
      </c>
      <c r="B133" s="841">
        <v>153</v>
      </c>
      <c r="C133" s="842">
        <f t="shared" si="1"/>
        <v>3.5190000000000001</v>
      </c>
      <c r="D133" s="840" t="s">
        <v>1749</v>
      </c>
      <c r="J133" t="s">
        <v>1817</v>
      </c>
      <c r="K133" t="s">
        <v>1818</v>
      </c>
      <c r="L133">
        <v>1.8867</v>
      </c>
      <c r="M133" t="s">
        <v>1617</v>
      </c>
    </row>
    <row r="134" spans="1:13">
      <c r="A134" s="840" t="s">
        <v>1819</v>
      </c>
      <c r="B134" s="841">
        <v>454</v>
      </c>
      <c r="C134" s="842">
        <f t="shared" si="1"/>
        <v>10.442</v>
      </c>
      <c r="D134" s="840" t="s">
        <v>1749</v>
      </c>
      <c r="J134" t="s">
        <v>1820</v>
      </c>
      <c r="K134" t="s">
        <v>1821</v>
      </c>
      <c r="L134">
        <v>4.9338880000000005</v>
      </c>
      <c r="M134" t="s">
        <v>1617</v>
      </c>
    </row>
    <row r="135" spans="1:13">
      <c r="A135" s="840" t="s">
        <v>1822</v>
      </c>
      <c r="B135" s="841">
        <v>580</v>
      </c>
      <c r="C135" s="842">
        <f t="shared" si="1"/>
        <v>13.34</v>
      </c>
      <c r="D135" s="840" t="s">
        <v>1745</v>
      </c>
      <c r="J135" t="s">
        <v>1823</v>
      </c>
      <c r="K135" t="s">
        <v>1824</v>
      </c>
      <c r="L135">
        <v>5.6322000000000001</v>
      </c>
      <c r="M135" t="s">
        <v>1582</v>
      </c>
    </row>
    <row r="136" spans="1:13">
      <c r="A136" s="840" t="s">
        <v>1825</v>
      </c>
      <c r="B136" s="841">
        <v>258.60000000000002</v>
      </c>
      <c r="C136" s="842">
        <f t="shared" si="1"/>
        <v>5.9478000000000009</v>
      </c>
      <c r="D136" s="840" t="s">
        <v>1749</v>
      </c>
      <c r="F136" s="75"/>
      <c r="J136" t="s">
        <v>1826</v>
      </c>
      <c r="K136" t="s">
        <v>1827</v>
      </c>
      <c r="L136">
        <v>0.69510000000000005</v>
      </c>
      <c r="M136" t="s">
        <v>1623</v>
      </c>
    </row>
    <row r="137" spans="1:13">
      <c r="A137" s="840" t="s">
        <v>1828</v>
      </c>
      <c r="B137" s="841">
        <v>109</v>
      </c>
      <c r="C137" s="842">
        <f t="shared" si="1"/>
        <v>2.5070000000000001</v>
      </c>
      <c r="D137" s="840" t="s">
        <v>1749</v>
      </c>
      <c r="J137" t="s">
        <v>1829</v>
      </c>
      <c r="K137" t="s">
        <v>1830</v>
      </c>
      <c r="L137">
        <v>4.9650000000000007</v>
      </c>
      <c r="M137" t="s">
        <v>1617</v>
      </c>
    </row>
    <row r="138" spans="1:13">
      <c r="A138" s="840" t="s">
        <v>1831</v>
      </c>
      <c r="B138" s="841"/>
      <c r="C138" s="844">
        <v>6.9730888888888884</v>
      </c>
      <c r="D138" s="840"/>
      <c r="J138" t="s">
        <v>1832</v>
      </c>
      <c r="K138" t="s">
        <v>1833</v>
      </c>
      <c r="L138">
        <v>3.972</v>
      </c>
      <c r="M138" t="s">
        <v>1617</v>
      </c>
    </row>
    <row r="139" spans="1:13">
      <c r="A139" s="840" t="s">
        <v>1834</v>
      </c>
      <c r="B139" s="841">
        <v>138</v>
      </c>
      <c r="C139" s="842">
        <f>B139*0.023</f>
        <v>3.1739999999999999</v>
      </c>
      <c r="D139" s="840" t="s">
        <v>1749</v>
      </c>
      <c r="J139" t="s">
        <v>1835</v>
      </c>
      <c r="K139" t="s">
        <v>1836</v>
      </c>
      <c r="L139">
        <v>2.2243200000000001</v>
      </c>
      <c r="M139" t="s">
        <v>1617</v>
      </c>
    </row>
    <row r="140" spans="1:13">
      <c r="A140" s="840" t="s">
        <v>1837</v>
      </c>
      <c r="B140" s="841">
        <v>583</v>
      </c>
      <c r="C140" s="842">
        <f>B140*0.023</f>
        <v>13.408999999999999</v>
      </c>
      <c r="D140" s="840" t="s">
        <v>1745</v>
      </c>
      <c r="J140" t="s">
        <v>1838</v>
      </c>
      <c r="K140" t="s">
        <v>1839</v>
      </c>
      <c r="L140">
        <v>1.107</v>
      </c>
      <c r="M140" t="s">
        <v>252</v>
      </c>
    </row>
    <row r="141" spans="1:13">
      <c r="A141" s="1397" t="s">
        <v>1840</v>
      </c>
      <c r="B141" s="1397"/>
      <c r="C141" s="1397"/>
      <c r="D141" s="1397"/>
      <c r="J141" t="s">
        <v>1841</v>
      </c>
      <c r="K141" t="s">
        <v>1787</v>
      </c>
      <c r="L141">
        <v>2.2110799999999999</v>
      </c>
      <c r="M141" t="s">
        <v>1624</v>
      </c>
    </row>
    <row r="142" spans="1:13">
      <c r="A142" s="838" t="s">
        <v>1741</v>
      </c>
      <c r="B142" s="839" t="s">
        <v>1742</v>
      </c>
      <c r="C142" s="839" t="s">
        <v>612</v>
      </c>
      <c r="D142" s="838" t="s">
        <v>1743</v>
      </c>
      <c r="J142" t="s">
        <v>1842</v>
      </c>
      <c r="K142" t="s">
        <v>1843</v>
      </c>
      <c r="L142">
        <v>4.0712000000000002</v>
      </c>
      <c r="M142" t="s">
        <v>1617</v>
      </c>
    </row>
    <row r="143" spans="1:13">
      <c r="A143" s="840" t="s">
        <v>1844</v>
      </c>
      <c r="B143" s="841">
        <v>176</v>
      </c>
      <c r="C143" s="842">
        <f>B143*0.023</f>
        <v>4.048</v>
      </c>
      <c r="D143" s="840" t="s">
        <v>1745</v>
      </c>
      <c r="J143" t="s">
        <v>1845</v>
      </c>
      <c r="K143" t="s">
        <v>1846</v>
      </c>
      <c r="L143">
        <v>0.82750000000000001</v>
      </c>
      <c r="M143" t="s">
        <v>1624</v>
      </c>
    </row>
    <row r="144" spans="1:13">
      <c r="A144" s="840" t="s">
        <v>1847</v>
      </c>
      <c r="B144" s="841">
        <v>176</v>
      </c>
      <c r="C144" s="842">
        <f>B144*0.023</f>
        <v>4.048</v>
      </c>
      <c r="D144" s="840" t="s">
        <v>1745</v>
      </c>
      <c r="J144" t="s">
        <v>1848</v>
      </c>
      <c r="K144" t="s">
        <v>1849</v>
      </c>
      <c r="L144">
        <v>3.96</v>
      </c>
      <c r="M144" t="s">
        <v>1850</v>
      </c>
    </row>
    <row r="145" spans="1:13">
      <c r="A145" s="840" t="s">
        <v>1851</v>
      </c>
      <c r="B145" s="841">
        <v>115</v>
      </c>
      <c r="C145" s="842">
        <f>B145*0.023</f>
        <v>2.645</v>
      </c>
      <c r="D145" s="840" t="s">
        <v>1745</v>
      </c>
      <c r="J145" t="s">
        <v>1852</v>
      </c>
      <c r="K145" t="s">
        <v>1853</v>
      </c>
      <c r="L145">
        <v>3.9577999999999998</v>
      </c>
      <c r="M145" t="s">
        <v>1850</v>
      </c>
    </row>
    <row r="146" spans="1:13">
      <c r="A146" s="840" t="s">
        <v>1854</v>
      </c>
      <c r="B146" s="841">
        <v>118</v>
      </c>
      <c r="C146" s="842">
        <f>B146*0.023</f>
        <v>2.714</v>
      </c>
      <c r="D146" s="840" t="s">
        <v>1749</v>
      </c>
      <c r="J146" t="s">
        <v>1855</v>
      </c>
      <c r="K146" t="s">
        <v>1856</v>
      </c>
      <c r="L146">
        <v>0.33100000000000002</v>
      </c>
      <c r="M146" t="s">
        <v>1850</v>
      </c>
    </row>
    <row r="147" spans="1:13">
      <c r="A147" s="840" t="s">
        <v>1857</v>
      </c>
      <c r="B147" s="841">
        <v>99</v>
      </c>
      <c r="C147" s="842">
        <f>B147*0.023</f>
        <v>2.2770000000000001</v>
      </c>
      <c r="D147" s="840" t="s">
        <v>1749</v>
      </c>
      <c r="J147" t="s">
        <v>1858</v>
      </c>
      <c r="K147" t="s">
        <v>1859</v>
      </c>
      <c r="L147">
        <v>3.972</v>
      </c>
      <c r="M147" t="s">
        <v>1624</v>
      </c>
    </row>
    <row r="148" spans="1:13">
      <c r="A148" s="840" t="s">
        <v>1860</v>
      </c>
      <c r="B148" s="843"/>
      <c r="C148" s="844">
        <v>3.2966666666666669</v>
      </c>
      <c r="D148" s="843"/>
      <c r="J148" t="s">
        <v>1861</v>
      </c>
      <c r="K148" t="s">
        <v>1862</v>
      </c>
      <c r="L148">
        <v>4.7664</v>
      </c>
      <c r="M148" t="s">
        <v>1624</v>
      </c>
    </row>
    <row r="149" spans="1:13">
      <c r="A149" s="840" t="s">
        <v>1863</v>
      </c>
      <c r="B149" s="841">
        <v>176</v>
      </c>
      <c r="C149" s="842">
        <f>B149*0.023</f>
        <v>4.048</v>
      </c>
      <c r="D149" s="840" t="s">
        <v>1745</v>
      </c>
      <c r="J149" t="s">
        <v>1864</v>
      </c>
      <c r="K149" t="s">
        <v>1865</v>
      </c>
      <c r="L149">
        <v>0.40381999999999996</v>
      </c>
      <c r="M149" t="s">
        <v>1617</v>
      </c>
    </row>
    <row r="150" spans="1:13">
      <c r="J150" t="s">
        <v>1866</v>
      </c>
      <c r="K150" t="s">
        <v>1867</v>
      </c>
      <c r="L150">
        <v>3.4331320000000001</v>
      </c>
      <c r="M150" t="s">
        <v>1624</v>
      </c>
    </row>
    <row r="151" spans="1:13">
      <c r="A151" s="1" t="s">
        <v>1868</v>
      </c>
      <c r="B151" s="1" t="s">
        <v>1869</v>
      </c>
      <c r="C151" s="1" t="s">
        <v>1870</v>
      </c>
      <c r="D151" s="1" t="s">
        <v>1232</v>
      </c>
      <c r="J151" t="s">
        <v>1871</v>
      </c>
      <c r="K151" t="s">
        <v>1872</v>
      </c>
      <c r="L151">
        <v>0.46340000000000003</v>
      </c>
      <c r="M151" t="s">
        <v>1850</v>
      </c>
    </row>
    <row r="152" spans="1:13">
      <c r="A152" t="s">
        <v>1575</v>
      </c>
      <c r="B152">
        <v>0.45137727999999999</v>
      </c>
      <c r="C152">
        <f>B152*1.2</f>
        <v>0.54165273599999997</v>
      </c>
      <c r="D152" t="s">
        <v>1640</v>
      </c>
      <c r="J152" t="s">
        <v>1873</v>
      </c>
      <c r="K152" t="s">
        <v>1874</v>
      </c>
      <c r="L152">
        <v>0.68937500000000007</v>
      </c>
      <c r="M152" t="s">
        <v>1624</v>
      </c>
    </row>
    <row r="153" spans="1:13">
      <c r="A153" t="s">
        <v>1875</v>
      </c>
      <c r="B153">
        <v>0.52683979999999997</v>
      </c>
      <c r="C153">
        <f t="shared" ref="C153:C166" si="2">B153*1.2</f>
        <v>0.6322077599999999</v>
      </c>
      <c r="D153" t="s">
        <v>1640</v>
      </c>
      <c r="J153" t="s">
        <v>1876</v>
      </c>
      <c r="K153" t="s">
        <v>1877</v>
      </c>
      <c r="L153">
        <v>2.2199999999999998</v>
      </c>
      <c r="M153" t="s">
        <v>1582</v>
      </c>
    </row>
    <row r="154" spans="1:13">
      <c r="A154" t="s">
        <v>253</v>
      </c>
      <c r="B154">
        <v>0.55808047999999999</v>
      </c>
      <c r="C154">
        <f t="shared" si="2"/>
        <v>0.66969657599999999</v>
      </c>
      <c r="D154" t="s">
        <v>1640</v>
      </c>
      <c r="J154" t="s">
        <v>1878</v>
      </c>
      <c r="K154" t="s">
        <v>1879</v>
      </c>
      <c r="L154">
        <v>0.33100000000000002</v>
      </c>
      <c r="M154" t="s">
        <v>1624</v>
      </c>
    </row>
    <row r="155" spans="1:13">
      <c r="A155" t="s">
        <v>134</v>
      </c>
      <c r="B155">
        <v>0.47701261</v>
      </c>
      <c r="C155">
        <f t="shared" si="2"/>
        <v>0.57241513199999994</v>
      </c>
      <c r="D155" t="s">
        <v>1640</v>
      </c>
      <c r="J155" t="s">
        <v>1880</v>
      </c>
      <c r="K155" t="s">
        <v>1881</v>
      </c>
      <c r="L155">
        <v>1.8206986000000001</v>
      </c>
      <c r="M155" t="s">
        <v>1624</v>
      </c>
    </row>
    <row r="156" spans="1:13">
      <c r="A156" t="s">
        <v>644</v>
      </c>
      <c r="B156">
        <v>0.54495455000000004</v>
      </c>
      <c r="C156">
        <f t="shared" si="2"/>
        <v>0.65394545999999998</v>
      </c>
      <c r="D156" t="s">
        <v>1640</v>
      </c>
      <c r="J156" t="s">
        <v>1882</v>
      </c>
      <c r="K156" t="s">
        <v>1784</v>
      </c>
      <c r="L156">
        <v>3.7547999999999999</v>
      </c>
      <c r="M156" t="s">
        <v>1617</v>
      </c>
    </row>
    <row r="157" spans="1:13">
      <c r="A157" t="s">
        <v>1883</v>
      </c>
      <c r="B157">
        <f>AVERAGE(B152:B156)</f>
        <v>0.51165294399999994</v>
      </c>
      <c r="C157">
        <f t="shared" si="2"/>
        <v>0.61398353279999995</v>
      </c>
      <c r="D157" t="s">
        <v>1640</v>
      </c>
      <c r="J157" t="s">
        <v>1884</v>
      </c>
      <c r="K157" t="s">
        <v>1885</v>
      </c>
      <c r="L157">
        <v>2.4824999999999999</v>
      </c>
      <c r="M157" t="s">
        <v>1617</v>
      </c>
    </row>
    <row r="158" spans="1:13">
      <c r="A158" t="s">
        <v>984</v>
      </c>
      <c r="B158">
        <v>0.30507864000000001</v>
      </c>
      <c r="C158">
        <f t="shared" si="2"/>
        <v>0.366094368</v>
      </c>
      <c r="D158" t="s">
        <v>1640</v>
      </c>
      <c r="J158" t="s">
        <v>1886</v>
      </c>
      <c r="K158" t="s">
        <v>1887</v>
      </c>
      <c r="L158">
        <v>3.0121000000000002</v>
      </c>
      <c r="M158" t="s">
        <v>1617</v>
      </c>
    </row>
    <row r="159" spans="1:13">
      <c r="A159" t="s">
        <v>1148</v>
      </c>
      <c r="B159">
        <v>0.47448322999999998</v>
      </c>
      <c r="C159">
        <f t="shared" si="2"/>
        <v>0.56937987599999995</v>
      </c>
      <c r="D159" t="s">
        <v>1640</v>
      </c>
      <c r="J159" t="s">
        <v>1888</v>
      </c>
      <c r="K159" t="s">
        <v>1889</v>
      </c>
      <c r="L159">
        <v>3.31</v>
      </c>
      <c r="M159" t="s">
        <v>1850</v>
      </c>
    </row>
    <row r="160" spans="1:13">
      <c r="A160" t="s">
        <v>983</v>
      </c>
      <c r="B160">
        <v>0.34542551999999999</v>
      </c>
      <c r="C160">
        <f t="shared" si="2"/>
        <v>0.41451062399999999</v>
      </c>
      <c r="D160" t="s">
        <v>1640</v>
      </c>
      <c r="J160" t="s">
        <v>1890</v>
      </c>
      <c r="K160" t="s">
        <v>1891</v>
      </c>
      <c r="L160">
        <v>0.66200000000000003</v>
      </c>
      <c r="M160" t="s">
        <v>1623</v>
      </c>
    </row>
    <row r="161" spans="1:13">
      <c r="A161" t="s">
        <v>282</v>
      </c>
      <c r="B161">
        <v>0.67292858</v>
      </c>
      <c r="C161">
        <f t="shared" si="2"/>
        <v>0.80751429600000002</v>
      </c>
      <c r="D161" t="s">
        <v>1640</v>
      </c>
      <c r="J161" t="s">
        <v>1892</v>
      </c>
      <c r="K161" t="s">
        <v>1784</v>
      </c>
      <c r="L161">
        <v>3.7547999999999999</v>
      </c>
      <c r="M161" t="s">
        <v>1850</v>
      </c>
    </row>
    <row r="162" spans="1:13">
      <c r="A162" t="s">
        <v>1893</v>
      </c>
      <c r="B162">
        <f>AVERAGE(B158:B161)</f>
        <v>0.44947899250000001</v>
      </c>
      <c r="C162">
        <f t="shared" si="2"/>
        <v>0.53937479099999996</v>
      </c>
      <c r="D162" t="s">
        <v>1640</v>
      </c>
      <c r="J162" t="s">
        <v>1894</v>
      </c>
      <c r="K162" t="s">
        <v>1895</v>
      </c>
      <c r="L162">
        <v>0.33100000000000002</v>
      </c>
      <c r="M162" t="s">
        <v>1850</v>
      </c>
    </row>
    <row r="163" spans="1:13">
      <c r="A163" t="s">
        <v>1578</v>
      </c>
      <c r="B163">
        <v>1.3134536999999999</v>
      </c>
      <c r="C163">
        <f t="shared" si="2"/>
        <v>1.57614444</v>
      </c>
      <c r="D163" t="s">
        <v>1640</v>
      </c>
      <c r="J163" t="s">
        <v>1896</v>
      </c>
      <c r="K163" t="s">
        <v>1897</v>
      </c>
      <c r="L163">
        <v>3.31</v>
      </c>
      <c r="M163" t="s">
        <v>1623</v>
      </c>
    </row>
    <row r="164" spans="1:13">
      <c r="A164" t="s">
        <v>1898</v>
      </c>
      <c r="B164">
        <v>1.091642</v>
      </c>
      <c r="C164">
        <f t="shared" si="2"/>
        <v>1.3099703999999999</v>
      </c>
      <c r="D164" t="s">
        <v>1640</v>
      </c>
      <c r="J164" t="s">
        <v>1899</v>
      </c>
      <c r="K164" t="s">
        <v>1900</v>
      </c>
      <c r="L164">
        <v>0.82750000000000012</v>
      </c>
      <c r="M164" t="s">
        <v>1624</v>
      </c>
    </row>
    <row r="165" spans="1:13">
      <c r="A165" t="s">
        <v>1901</v>
      </c>
      <c r="B165">
        <v>1.0320796999999999</v>
      </c>
      <c r="C165">
        <f t="shared" si="2"/>
        <v>1.2384956399999998</v>
      </c>
      <c r="D165" t="s">
        <v>1640</v>
      </c>
      <c r="J165" t="s">
        <v>1902</v>
      </c>
      <c r="K165" t="s">
        <v>1903</v>
      </c>
      <c r="L165">
        <v>3.31</v>
      </c>
      <c r="M165" t="s">
        <v>1624</v>
      </c>
    </row>
    <row r="166" spans="1:13">
      <c r="A166" t="s">
        <v>1904</v>
      </c>
      <c r="B166">
        <v>0.44234382</v>
      </c>
      <c r="C166">
        <f t="shared" si="2"/>
        <v>0.53081258399999998</v>
      </c>
      <c r="D166" t="s">
        <v>1640</v>
      </c>
      <c r="J166" s="260" t="s">
        <v>433</v>
      </c>
      <c r="K166" s="260"/>
      <c r="L166" s="260"/>
    </row>
    <row r="167" spans="1:13">
      <c r="J167" t="s">
        <v>1905</v>
      </c>
      <c r="K167" t="s">
        <v>1906</v>
      </c>
      <c r="L167">
        <v>0.82499999999999996</v>
      </c>
      <c r="M167" t="s">
        <v>1623</v>
      </c>
    </row>
    <row r="168" spans="1:13">
      <c r="A168" s="328"/>
      <c r="B168" s="328"/>
      <c r="C168" s="328">
        <f>AVERAGE(C152:C166)</f>
        <v>0.73574654771999992</v>
      </c>
      <c r="D168" s="329"/>
      <c r="J168" t="s">
        <v>1907</v>
      </c>
      <c r="K168" t="s">
        <v>1908</v>
      </c>
      <c r="L168">
        <v>0.85799999999999998</v>
      </c>
      <c r="M168" t="s">
        <v>1617</v>
      </c>
    </row>
    <row r="169" spans="1:13">
      <c r="A169" s="328"/>
      <c r="B169" s="328"/>
      <c r="C169" s="328"/>
      <c r="D169" s="329"/>
      <c r="J169" t="s">
        <v>1909</v>
      </c>
      <c r="K169" t="s">
        <v>1910</v>
      </c>
      <c r="L169">
        <v>0.66</v>
      </c>
      <c r="M169" t="s">
        <v>1617</v>
      </c>
    </row>
    <row r="170" spans="1:13">
      <c r="A170" s="328"/>
      <c r="B170" s="328"/>
      <c r="C170" s="328"/>
      <c r="D170" s="329"/>
      <c r="J170" t="s">
        <v>1911</v>
      </c>
      <c r="K170" t="s">
        <v>1912</v>
      </c>
      <c r="L170">
        <v>1.65</v>
      </c>
      <c r="M170" t="s">
        <v>1617</v>
      </c>
    </row>
    <row r="171" spans="1:13">
      <c r="J171" t="s">
        <v>1913</v>
      </c>
      <c r="K171" t="s">
        <v>1914</v>
      </c>
      <c r="L171">
        <v>1.32</v>
      </c>
      <c r="M171" t="s">
        <v>1617</v>
      </c>
    </row>
    <row r="172" spans="1:13">
      <c r="J172" t="s">
        <v>1915</v>
      </c>
      <c r="K172" t="s">
        <v>1916</v>
      </c>
      <c r="L172">
        <v>0.63690000000000002</v>
      </c>
      <c r="M172" t="s">
        <v>1617</v>
      </c>
    </row>
    <row r="173" spans="1:13">
      <c r="J173" t="s">
        <v>1917</v>
      </c>
      <c r="K173" t="s">
        <v>1918</v>
      </c>
      <c r="L173">
        <v>0.74249999999999994</v>
      </c>
      <c r="M173" t="s">
        <v>1623</v>
      </c>
    </row>
    <row r="174" spans="1:13">
      <c r="J174" t="s">
        <v>1919</v>
      </c>
      <c r="K174" t="s">
        <v>1920</v>
      </c>
      <c r="L174">
        <v>1.5794999999999999</v>
      </c>
      <c r="M174" t="s">
        <v>1617</v>
      </c>
    </row>
    <row r="175" spans="1:13">
      <c r="A175" t="s">
        <v>1921</v>
      </c>
      <c r="J175" t="s">
        <v>1922</v>
      </c>
      <c r="K175" t="s">
        <v>1923</v>
      </c>
      <c r="L175">
        <v>0.98999999999999988</v>
      </c>
      <c r="M175" t="s">
        <v>1617</v>
      </c>
    </row>
    <row r="176" spans="1:13">
      <c r="A176" t="s">
        <v>627</v>
      </c>
      <c r="B176">
        <f>C155</f>
        <v>0.57241513199999994</v>
      </c>
      <c r="J176" t="s">
        <v>1924</v>
      </c>
      <c r="K176" t="s">
        <v>1925</v>
      </c>
      <c r="L176">
        <v>1.0125</v>
      </c>
      <c r="M176" t="s">
        <v>1617</v>
      </c>
    </row>
    <row r="177" spans="1:13">
      <c r="A177" t="s">
        <v>159</v>
      </c>
      <c r="B177">
        <f>C155</f>
        <v>0.57241513199999994</v>
      </c>
      <c r="J177" t="s">
        <v>1926</v>
      </c>
      <c r="K177" t="s">
        <v>1927</v>
      </c>
      <c r="L177">
        <v>1.5179999999999998</v>
      </c>
      <c r="M177" t="s">
        <v>1617</v>
      </c>
    </row>
    <row r="178" spans="1:13">
      <c r="A178" t="s">
        <v>253</v>
      </c>
      <c r="B178">
        <f>C154</f>
        <v>0.66969657599999999</v>
      </c>
      <c r="J178" t="s">
        <v>1928</v>
      </c>
      <c r="K178" t="s">
        <v>1929</v>
      </c>
      <c r="L178">
        <v>1.32</v>
      </c>
      <c r="M178" t="s">
        <v>1617</v>
      </c>
    </row>
    <row r="179" spans="1:13">
      <c r="A179" t="s">
        <v>634</v>
      </c>
      <c r="B179">
        <f>C152</f>
        <v>0.54165273599999997</v>
      </c>
      <c r="J179" t="s">
        <v>1930</v>
      </c>
      <c r="K179" t="s">
        <v>1931</v>
      </c>
      <c r="L179">
        <v>3.0374999999999996</v>
      </c>
      <c r="M179" t="s">
        <v>1850</v>
      </c>
    </row>
    <row r="180" spans="1:13">
      <c r="A180" t="s">
        <v>638</v>
      </c>
      <c r="B180">
        <f>C152</f>
        <v>0.54165273599999997</v>
      </c>
      <c r="J180" t="s">
        <v>1932</v>
      </c>
      <c r="K180" t="s">
        <v>1933</v>
      </c>
      <c r="L180">
        <v>1.3199999999999998</v>
      </c>
      <c r="M180" t="s">
        <v>1617</v>
      </c>
    </row>
    <row r="181" spans="1:13">
      <c r="A181" t="s">
        <v>644</v>
      </c>
      <c r="B181">
        <f>C156</f>
        <v>0.65394545999999998</v>
      </c>
      <c r="J181" t="s">
        <v>1934</v>
      </c>
      <c r="K181" t="s">
        <v>1935</v>
      </c>
      <c r="L181">
        <v>0.74249999999999994</v>
      </c>
      <c r="M181" t="s">
        <v>1617</v>
      </c>
    </row>
    <row r="182" spans="1:13">
      <c r="A182" t="s">
        <v>980</v>
      </c>
      <c r="B182">
        <f>C157</f>
        <v>0.61398353279999995</v>
      </c>
      <c r="J182" t="s">
        <v>1936</v>
      </c>
      <c r="K182" t="s">
        <v>1937</v>
      </c>
      <c r="L182">
        <v>1.5674999999999999</v>
      </c>
      <c r="M182" t="s">
        <v>1617</v>
      </c>
    </row>
    <row r="183" spans="1:13">
      <c r="A183" t="s">
        <v>648</v>
      </c>
      <c r="B183">
        <f>C163</f>
        <v>1.57614444</v>
      </c>
      <c r="J183" t="s">
        <v>1938</v>
      </c>
      <c r="K183" t="s">
        <v>1939</v>
      </c>
      <c r="L183">
        <v>0.82499999999999996</v>
      </c>
      <c r="M183" t="s">
        <v>1617</v>
      </c>
    </row>
    <row r="184" spans="1:13">
      <c r="A184" t="s">
        <v>650</v>
      </c>
      <c r="B184">
        <f>C163</f>
        <v>1.57614444</v>
      </c>
      <c r="J184" t="s">
        <v>1940</v>
      </c>
      <c r="K184" t="s">
        <v>1941</v>
      </c>
      <c r="L184">
        <v>0.91874999999999996</v>
      </c>
      <c r="M184" t="s">
        <v>1617</v>
      </c>
    </row>
    <row r="185" spans="1:13">
      <c r="A185" t="s">
        <v>651</v>
      </c>
      <c r="B185">
        <f>C163</f>
        <v>1.57614444</v>
      </c>
      <c r="J185" t="s">
        <v>1942</v>
      </c>
      <c r="K185" t="s">
        <v>1943</v>
      </c>
      <c r="L185">
        <v>0.98999999999999988</v>
      </c>
      <c r="M185" t="s">
        <v>252</v>
      </c>
    </row>
    <row r="186" spans="1:13">
      <c r="A186" t="s">
        <v>654</v>
      </c>
      <c r="B186">
        <f>C163</f>
        <v>1.57614444</v>
      </c>
      <c r="J186" t="s">
        <v>124</v>
      </c>
      <c r="K186" t="s">
        <v>1944</v>
      </c>
      <c r="L186">
        <v>0.44022000000000006</v>
      </c>
      <c r="M186" t="s">
        <v>1617</v>
      </c>
    </row>
    <row r="187" spans="1:13">
      <c r="A187" t="s">
        <v>983</v>
      </c>
      <c r="B187">
        <f>C160</f>
        <v>0.41451062399999999</v>
      </c>
      <c r="J187" t="s">
        <v>1945</v>
      </c>
      <c r="K187" t="s">
        <v>1946</v>
      </c>
      <c r="L187">
        <v>1.1022000000000001</v>
      </c>
      <c r="M187" t="s">
        <v>1617</v>
      </c>
    </row>
    <row r="188" spans="1:13">
      <c r="A188" t="s">
        <v>984</v>
      </c>
      <c r="B188">
        <f>C158</f>
        <v>0.366094368</v>
      </c>
      <c r="J188" t="s">
        <v>1947</v>
      </c>
      <c r="K188" t="s">
        <v>1948</v>
      </c>
      <c r="L188">
        <v>2.0625</v>
      </c>
      <c r="M188" t="s">
        <v>1623</v>
      </c>
    </row>
    <row r="189" spans="1:13">
      <c r="J189" t="s">
        <v>1949</v>
      </c>
      <c r="K189" t="s">
        <v>1950</v>
      </c>
      <c r="L189">
        <v>0.83730000000000004</v>
      </c>
      <c r="M189" t="s">
        <v>1617</v>
      </c>
    </row>
    <row r="190" spans="1:13">
      <c r="J190" t="s">
        <v>125</v>
      </c>
      <c r="K190" t="s">
        <v>1951</v>
      </c>
      <c r="L190">
        <v>0.627</v>
      </c>
      <c r="M190" t="s">
        <v>1617</v>
      </c>
    </row>
    <row r="191" spans="1:13">
      <c r="J191" s="260" t="s">
        <v>996</v>
      </c>
      <c r="K191" s="260"/>
      <c r="L191" s="260"/>
    </row>
    <row r="192" spans="1:13">
      <c r="J192" t="s">
        <v>1952</v>
      </c>
      <c r="K192" t="s">
        <v>1953</v>
      </c>
      <c r="L192">
        <v>1.0454999999999999</v>
      </c>
      <c r="M192" t="s">
        <v>1621</v>
      </c>
    </row>
    <row r="193" spans="10:13">
      <c r="J193" t="s">
        <v>1954</v>
      </c>
      <c r="K193" t="s">
        <v>1955</v>
      </c>
      <c r="L193">
        <v>0.34850000000000003</v>
      </c>
      <c r="M193" t="s">
        <v>1617</v>
      </c>
    </row>
    <row r="194" spans="10:13">
      <c r="J194" t="s">
        <v>117</v>
      </c>
      <c r="K194" t="s">
        <v>1956</v>
      </c>
      <c r="L194">
        <v>1.6727999999999998</v>
      </c>
      <c r="M194" t="s">
        <v>1623</v>
      </c>
    </row>
    <row r="195" spans="10:13">
      <c r="J195" t="s">
        <v>118</v>
      </c>
      <c r="K195" t="s">
        <v>1957</v>
      </c>
      <c r="L195">
        <v>0.34850000000000003</v>
      </c>
      <c r="M195" t="s">
        <v>1582</v>
      </c>
    </row>
    <row r="196" spans="10:13">
      <c r="J196" t="s">
        <v>1958</v>
      </c>
      <c r="K196" t="s">
        <v>1959</v>
      </c>
      <c r="L196">
        <v>0.34850000000000003</v>
      </c>
      <c r="M196" t="s">
        <v>1623</v>
      </c>
    </row>
    <row r="197" spans="10:13">
      <c r="J197" s="846" t="s">
        <v>1960</v>
      </c>
      <c r="K197" s="846"/>
      <c r="L197" s="846"/>
    </row>
    <row r="198" spans="10:13">
      <c r="J198" s="846" t="s">
        <v>1961</v>
      </c>
      <c r="K198" s="846" t="s">
        <v>1962</v>
      </c>
      <c r="L198" s="846">
        <v>0.29699999999999999</v>
      </c>
    </row>
    <row r="199" spans="10:13">
      <c r="J199" s="846" t="s">
        <v>1963</v>
      </c>
      <c r="K199" s="846" t="s">
        <v>1964</v>
      </c>
      <c r="L199" s="846"/>
    </row>
    <row r="200" spans="10:13">
      <c r="J200" s="846" t="s">
        <v>1965</v>
      </c>
      <c r="K200" s="846" t="s">
        <v>1966</v>
      </c>
      <c r="L200" s="846"/>
    </row>
    <row r="201" spans="10:13">
      <c r="J201" s="846" t="s">
        <v>1967</v>
      </c>
      <c r="K201" s="846" t="s">
        <v>1962</v>
      </c>
      <c r="L201" s="846">
        <v>0.29699999999999999</v>
      </c>
    </row>
    <row r="202" spans="10:13">
      <c r="J202" s="846" t="s">
        <v>1968</v>
      </c>
      <c r="K202" s="846" t="s">
        <v>1969</v>
      </c>
      <c r="L202" s="846"/>
    </row>
    <row r="203" spans="10:13">
      <c r="J203" s="846" t="s">
        <v>1970</v>
      </c>
      <c r="K203" s="846" t="s">
        <v>1971</v>
      </c>
      <c r="L203" s="846"/>
    </row>
    <row r="204" spans="10:13">
      <c r="J204" s="846" t="s">
        <v>1972</v>
      </c>
      <c r="K204" s="846" t="s">
        <v>1973</v>
      </c>
      <c r="L204" s="846"/>
    </row>
    <row r="205" spans="10:13">
      <c r="J205" s="846" t="s">
        <v>1974</v>
      </c>
      <c r="K205" s="846" t="s">
        <v>1973</v>
      </c>
      <c r="L205" s="846"/>
    </row>
    <row r="206" spans="10:13">
      <c r="J206" s="846" t="s">
        <v>1975</v>
      </c>
      <c r="K206" s="846" t="s">
        <v>1976</v>
      </c>
      <c r="L206" s="846">
        <v>1.0125</v>
      </c>
    </row>
    <row r="207" spans="10:13">
      <c r="J207" s="846" t="s">
        <v>1977</v>
      </c>
      <c r="K207" s="846" t="s">
        <v>1978</v>
      </c>
      <c r="L207" s="846"/>
    </row>
    <row r="208" spans="10:13">
      <c r="J208" s="846" t="s">
        <v>1979</v>
      </c>
      <c r="K208" s="846" t="s">
        <v>1980</v>
      </c>
      <c r="L208" s="846"/>
    </row>
    <row r="209" spans="10:12">
      <c r="J209" s="846" t="s">
        <v>1981</v>
      </c>
      <c r="K209" s="846" t="s">
        <v>1982</v>
      </c>
      <c r="L209" s="846"/>
    </row>
    <row r="210" spans="10:12">
      <c r="J210" s="846" t="s">
        <v>1983</v>
      </c>
      <c r="K210" s="846" t="s">
        <v>1984</v>
      </c>
      <c r="L210" s="846"/>
    </row>
  </sheetData>
  <sheetProtection algorithmName="SHA-512" hashValue="ul6YA4R1gqHpKpCDoPJLKmLxqvwiGT1Z2qZcRDLQsi+YzoZgLZvWrUOQg93aP3ny1pkDihR+PwOPJDeiFtE+sA==" saltValue="j53Af5FQ1KKBb2TwpHJvvQ==" spinCount="100000" sheet="1" objects="1" scenarios="1"/>
  <sortState xmlns:xlrd2="http://schemas.microsoft.com/office/spreadsheetml/2017/richdata2" ref="J116:L165">
    <sortCondition ref="J116:J165"/>
  </sortState>
  <mergeCells count="5">
    <mergeCell ref="A2:E2"/>
    <mergeCell ref="A38:D38"/>
    <mergeCell ref="A106:D106"/>
    <mergeCell ref="A129:D129"/>
    <mergeCell ref="A141:D141"/>
  </mergeCells>
  <phoneticPr fontId="107"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4F8EA-DC8B-4AF9-A336-0BACF43525FB}">
  <sheetPr codeName="Sheet14"/>
  <dimension ref="A1:L501"/>
  <sheetViews>
    <sheetView topLeftCell="A208" zoomScale="64" zoomScaleNormal="64" workbookViewId="0">
      <selection activeCell="B261" sqref="B261"/>
    </sheetView>
  </sheetViews>
  <sheetFormatPr defaultColWidth="8.54296875" defaultRowHeight="14.5"/>
  <cols>
    <col min="1" max="1" width="67.54296875" customWidth="1"/>
    <col min="2" max="2" width="21" customWidth="1"/>
    <col min="3" max="3" width="23.453125" customWidth="1"/>
    <col min="4" max="4" width="117.54296875" customWidth="1"/>
    <col min="5" max="5" width="29.7265625" customWidth="1"/>
    <col min="9" max="9" width="40.54296875" customWidth="1"/>
  </cols>
  <sheetData>
    <row r="1" spans="1:12">
      <c r="A1" s="1" t="s">
        <v>1985</v>
      </c>
    </row>
    <row r="2" spans="1:12">
      <c r="A2" s="65" t="s">
        <v>1986</v>
      </c>
      <c r="B2" s="65" t="s">
        <v>724</v>
      </c>
      <c r="C2" s="65" t="s">
        <v>19</v>
      </c>
      <c r="D2" s="65" t="s">
        <v>1987</v>
      </c>
    </row>
    <row r="3" spans="1:12">
      <c r="A3" t="s">
        <v>147</v>
      </c>
      <c r="B3" s="76">
        <v>7.6469635290929514E-4</v>
      </c>
      <c r="C3" s="77" t="s">
        <v>1988</v>
      </c>
      <c r="D3" s="74" t="s">
        <v>2584</v>
      </c>
      <c r="I3" t="s">
        <v>1989</v>
      </c>
    </row>
    <row r="4" spans="1:12">
      <c r="A4" t="s">
        <v>1990</v>
      </c>
      <c r="B4" s="76">
        <v>2.3133671180449269E-4</v>
      </c>
      <c r="C4" s="77" t="s">
        <v>1991</v>
      </c>
      <c r="D4" s="74" t="s">
        <v>2585</v>
      </c>
      <c r="I4" t="s">
        <v>1993</v>
      </c>
      <c r="J4" s="66">
        <v>2.313367118044931E-4</v>
      </c>
      <c r="K4" s="68" t="s">
        <v>1991</v>
      </c>
      <c r="L4" s="67" t="s">
        <v>1992</v>
      </c>
    </row>
    <row r="5" spans="1:12">
      <c r="A5" t="s">
        <v>1994</v>
      </c>
      <c r="B5" s="76">
        <v>1.1417219598605924E-4</v>
      </c>
      <c r="C5" s="77" t="s">
        <v>1991</v>
      </c>
      <c r="D5" s="74" t="s">
        <v>2585</v>
      </c>
      <c r="I5" t="s">
        <v>1995</v>
      </c>
      <c r="J5" s="69">
        <v>1.1417219598605924E-4</v>
      </c>
      <c r="K5" s="68" t="s">
        <v>1991</v>
      </c>
      <c r="L5" s="67" t="s">
        <v>1992</v>
      </c>
    </row>
    <row r="6" spans="1:12">
      <c r="A6" t="s">
        <v>1996</v>
      </c>
      <c r="B6" s="76">
        <v>1.1138132008417778E-3</v>
      </c>
      <c r="C6" s="77" t="s">
        <v>1997</v>
      </c>
      <c r="D6" s="74" t="s">
        <v>2586</v>
      </c>
      <c r="I6" t="s">
        <v>160</v>
      </c>
      <c r="J6" s="70">
        <v>0.26467002763344571</v>
      </c>
      <c r="K6" s="68" t="s">
        <v>1991</v>
      </c>
      <c r="L6" s="67" t="s">
        <v>1998</v>
      </c>
    </row>
    <row r="7" spans="1:12">
      <c r="A7" t="s">
        <v>1999</v>
      </c>
      <c r="B7" s="76">
        <v>0.2636444539557819</v>
      </c>
      <c r="C7" s="77" t="s">
        <v>1991</v>
      </c>
      <c r="D7" s="74" t="s">
        <v>2587</v>
      </c>
      <c r="I7" t="s">
        <v>2000</v>
      </c>
      <c r="J7" s="70">
        <v>0.26644904920528911</v>
      </c>
      <c r="K7" s="68" t="s">
        <v>1991</v>
      </c>
      <c r="L7" s="67" t="s">
        <v>1992</v>
      </c>
    </row>
    <row r="8" spans="1:12">
      <c r="A8" t="s">
        <v>2001</v>
      </c>
      <c r="B8" s="76">
        <v>2.6137418226894042</v>
      </c>
      <c r="C8" s="77" t="s">
        <v>2002</v>
      </c>
      <c r="D8" s="74" t="s">
        <v>2588</v>
      </c>
      <c r="I8" t="s">
        <v>158</v>
      </c>
      <c r="J8" s="70">
        <v>0.19903817219598607</v>
      </c>
      <c r="K8" s="68" t="s">
        <v>1991</v>
      </c>
      <c r="L8" s="67" t="s">
        <v>1992</v>
      </c>
    </row>
    <row r="9" spans="1:12">
      <c r="A9" t="s">
        <v>369</v>
      </c>
      <c r="B9" s="76">
        <v>3.1467437013401383</v>
      </c>
      <c r="C9" s="77" t="s">
        <v>1988</v>
      </c>
      <c r="D9" s="74" t="s">
        <v>2589</v>
      </c>
      <c r="I9" t="s">
        <v>2003</v>
      </c>
      <c r="J9" s="70">
        <v>0.26680536840595198</v>
      </c>
      <c r="K9" s="68" t="s">
        <v>1991</v>
      </c>
      <c r="L9" s="67" t="s">
        <v>1992</v>
      </c>
    </row>
    <row r="10" spans="1:12">
      <c r="A10" t="s">
        <v>2004</v>
      </c>
      <c r="B10" s="76">
        <v>0.26654770176057641</v>
      </c>
      <c r="C10" s="77" t="s">
        <v>1991</v>
      </c>
      <c r="D10" s="74" t="s">
        <v>2585</v>
      </c>
      <c r="I10" t="s">
        <v>2005</v>
      </c>
      <c r="J10" s="70">
        <v>0.27868536840595204</v>
      </c>
      <c r="K10" s="68" t="s">
        <v>1991</v>
      </c>
      <c r="L10" s="67" t="s">
        <v>1992</v>
      </c>
    </row>
    <row r="11" spans="1:12">
      <c r="A11" t="s">
        <v>2006</v>
      </c>
      <c r="B11" s="76">
        <v>0.19460751755885092</v>
      </c>
      <c r="C11" s="77" t="s">
        <v>1991</v>
      </c>
      <c r="D11" s="74" t="s">
        <v>2585</v>
      </c>
      <c r="I11" t="s">
        <v>2007</v>
      </c>
      <c r="J11" s="70">
        <v>0.27927042687027553</v>
      </c>
      <c r="K11" s="68" t="s">
        <v>1991</v>
      </c>
      <c r="L11" s="67" t="s">
        <v>1992</v>
      </c>
    </row>
    <row r="12" spans="1:12">
      <c r="A12" t="s">
        <v>149</v>
      </c>
      <c r="B12" s="76">
        <v>1.8985044490741234</v>
      </c>
      <c r="C12" s="77" t="s">
        <v>1997</v>
      </c>
      <c r="D12" s="74" t="s">
        <v>2586</v>
      </c>
      <c r="I12" t="s">
        <v>2008</v>
      </c>
      <c r="J12" s="70">
        <v>0.19903817219598607</v>
      </c>
      <c r="K12" s="68" t="s">
        <v>1991</v>
      </c>
      <c r="L12" s="67" t="s">
        <v>1992</v>
      </c>
    </row>
    <row r="13" spans="1:12">
      <c r="A13" t="s">
        <v>2009</v>
      </c>
      <c r="B13" s="76">
        <v>0.36440822876494067</v>
      </c>
      <c r="C13" s="77" t="s">
        <v>1991</v>
      </c>
      <c r="D13" s="74" t="s">
        <v>2587</v>
      </c>
      <c r="I13" t="s">
        <v>2010</v>
      </c>
      <c r="J13" s="70">
        <v>0.2286748953871344</v>
      </c>
      <c r="K13" s="68" t="s">
        <v>1991</v>
      </c>
      <c r="L13" s="67" t="s">
        <v>1998</v>
      </c>
    </row>
    <row r="14" spans="1:12">
      <c r="A14" t="s">
        <v>2011</v>
      </c>
      <c r="B14" s="76">
        <v>3.1349630787699354</v>
      </c>
      <c r="C14" s="77" t="s">
        <v>1988</v>
      </c>
      <c r="D14" s="74" t="s">
        <v>2590</v>
      </c>
    </row>
    <row r="15" spans="1:12">
      <c r="A15" t="s">
        <v>2012</v>
      </c>
      <c r="B15" s="76">
        <v>0.26680536840595198</v>
      </c>
      <c r="C15" s="77" t="s">
        <v>1991</v>
      </c>
      <c r="D15" s="74" t="s">
        <v>2585</v>
      </c>
    </row>
    <row r="16" spans="1:12">
      <c r="A16" t="s">
        <v>2013</v>
      </c>
      <c r="B16" s="76">
        <v>3.0361222635781773</v>
      </c>
      <c r="C16" s="77" t="s">
        <v>1988</v>
      </c>
      <c r="D16" s="74" t="s">
        <v>2591</v>
      </c>
    </row>
    <row r="17" spans="1:4">
      <c r="A17" t="s">
        <v>2014</v>
      </c>
      <c r="B17" s="76">
        <v>0.27868536840595204</v>
      </c>
      <c r="C17" s="77" t="s">
        <v>1991</v>
      </c>
      <c r="D17" s="74" t="s">
        <v>2585</v>
      </c>
    </row>
    <row r="18" spans="1:4">
      <c r="A18" t="s">
        <v>2015</v>
      </c>
      <c r="B18" s="76">
        <v>3.0368523754983543</v>
      </c>
      <c r="C18" s="77" t="s">
        <v>1988</v>
      </c>
      <c r="D18" s="74" t="s">
        <v>2592</v>
      </c>
    </row>
    <row r="19" spans="1:4">
      <c r="A19" t="s">
        <v>2016</v>
      </c>
      <c r="B19" s="76">
        <v>0.27856771522687845</v>
      </c>
      <c r="C19" s="77" t="s">
        <v>1991</v>
      </c>
      <c r="D19" s="74" t="s">
        <v>2585</v>
      </c>
    </row>
    <row r="20" spans="1:4">
      <c r="A20" t="s">
        <v>2017</v>
      </c>
      <c r="B20" s="76">
        <v>0.19460751755885092</v>
      </c>
      <c r="C20" s="77" t="s">
        <v>1991</v>
      </c>
      <c r="D20" s="74" t="s">
        <v>2585</v>
      </c>
    </row>
    <row r="21" spans="1:4">
      <c r="A21" t="s">
        <v>2018</v>
      </c>
      <c r="B21" s="76">
        <v>0.22750463801334597</v>
      </c>
      <c r="C21" s="77" t="s">
        <v>1991</v>
      </c>
      <c r="D21" s="74" t="s">
        <v>2587</v>
      </c>
    </row>
    <row r="22" spans="1:4">
      <c r="A22" s="72" t="s">
        <v>147</v>
      </c>
      <c r="B22" s="71">
        <v>1.332799999999998</v>
      </c>
      <c r="C22" s="73" t="s">
        <v>2019</v>
      </c>
      <c r="D22" s="67" t="s">
        <v>2593</v>
      </c>
    </row>
    <row r="23" spans="1:4">
      <c r="A23" s="72" t="s">
        <v>1990</v>
      </c>
      <c r="B23" s="70">
        <v>0.40319999999999939</v>
      </c>
      <c r="C23" s="73" t="s">
        <v>2020</v>
      </c>
      <c r="D23" s="67" t="s">
        <v>2587</v>
      </c>
    </row>
    <row r="24" spans="1:4">
      <c r="A24" s="72" t="s">
        <v>1994</v>
      </c>
      <c r="B24" s="70">
        <v>0.19654800000000003</v>
      </c>
      <c r="C24" s="73" t="s">
        <v>2020</v>
      </c>
      <c r="D24" s="67" t="s">
        <v>2587</v>
      </c>
    </row>
    <row r="25" spans="1:4">
      <c r="A25" s="72" t="s">
        <v>1996</v>
      </c>
      <c r="B25" s="71">
        <v>1.9174349333333329</v>
      </c>
      <c r="C25" s="73" t="s">
        <v>2021</v>
      </c>
      <c r="D25" s="67" t="s">
        <v>2594</v>
      </c>
    </row>
    <row r="27" spans="1:4">
      <c r="A27" s="65" t="s">
        <v>2022</v>
      </c>
      <c r="B27" s="65"/>
      <c r="C27" s="65"/>
      <c r="D27" s="65"/>
    </row>
    <row r="28" spans="1:4">
      <c r="A28" s="65" t="s">
        <v>489</v>
      </c>
      <c r="B28" s="65" t="s">
        <v>724</v>
      </c>
      <c r="C28" s="65" t="s">
        <v>19</v>
      </c>
      <c r="D28" s="65" t="s">
        <v>1987</v>
      </c>
    </row>
    <row r="29" spans="1:4">
      <c r="A29" t="s">
        <v>164</v>
      </c>
      <c r="B29" s="76">
        <v>2.3133671180449269E-4</v>
      </c>
      <c r="C29" s="77" t="s">
        <v>1991</v>
      </c>
      <c r="D29" s="74" t="s">
        <v>2587</v>
      </c>
    </row>
    <row r="30" spans="1:4">
      <c r="A30" t="s">
        <v>166</v>
      </c>
      <c r="B30" s="76">
        <v>0</v>
      </c>
      <c r="C30" s="77" t="s">
        <v>1991</v>
      </c>
      <c r="D30" s="74" t="s">
        <v>2023</v>
      </c>
    </row>
    <row r="31" spans="1:4">
      <c r="A31" t="s">
        <v>328</v>
      </c>
      <c r="B31" s="76">
        <v>0.61196000000000006</v>
      </c>
      <c r="C31" s="77" t="s">
        <v>2024</v>
      </c>
      <c r="D31" s="74" t="s">
        <v>2595</v>
      </c>
    </row>
    <row r="33" spans="1:4">
      <c r="A33" s="65" t="s">
        <v>2025</v>
      </c>
      <c r="B33" s="65"/>
      <c r="C33" s="65"/>
      <c r="D33" s="65"/>
    </row>
    <row r="34" spans="1:4">
      <c r="A34" s="65" t="s">
        <v>2026</v>
      </c>
      <c r="B34" s="65" t="s">
        <v>2027</v>
      </c>
      <c r="C34" s="65" t="s">
        <v>19</v>
      </c>
      <c r="D34" s="65" t="s">
        <v>1987</v>
      </c>
    </row>
    <row r="35" spans="1:4">
      <c r="A35" t="s">
        <v>545</v>
      </c>
      <c r="B35" s="76">
        <v>2.8917088975561586E-4</v>
      </c>
      <c r="C35" s="77" t="s">
        <v>1991</v>
      </c>
      <c r="D35" s="74" t="s">
        <v>2596</v>
      </c>
    </row>
    <row r="36" spans="1:4">
      <c r="A36" t="s">
        <v>371</v>
      </c>
      <c r="B36" s="76">
        <v>0.15716923208886271</v>
      </c>
      <c r="C36" s="77" t="s">
        <v>1991</v>
      </c>
      <c r="D36" s="74" t="s">
        <v>2028</v>
      </c>
    </row>
    <row r="37" spans="1:4">
      <c r="A37" t="s">
        <v>551</v>
      </c>
      <c r="B37" s="76">
        <v>0.47999087624079784</v>
      </c>
      <c r="C37" s="77" t="s">
        <v>1991</v>
      </c>
      <c r="D37" s="74" t="s">
        <v>2596</v>
      </c>
    </row>
    <row r="38" spans="1:4">
      <c r="A38" t="s">
        <v>554</v>
      </c>
      <c r="B38" s="76">
        <v>0.33318462720072051</v>
      </c>
      <c r="C38" s="77" t="s">
        <v>1991</v>
      </c>
      <c r="D38" s="74" t="s">
        <v>2596</v>
      </c>
    </row>
    <row r="39" spans="1:4">
      <c r="A39" t="s">
        <v>559</v>
      </c>
      <c r="B39" s="76">
        <v>0.24325939694856363</v>
      </c>
      <c r="C39" s="77" t="s">
        <v>1991</v>
      </c>
      <c r="D39" s="74" t="s">
        <v>2596</v>
      </c>
    </row>
    <row r="40" spans="1:4">
      <c r="A40" t="s">
        <v>374</v>
      </c>
      <c r="B40" s="76">
        <v>0.45551028595617582</v>
      </c>
      <c r="C40" s="77" t="s">
        <v>1991</v>
      </c>
      <c r="D40" s="74" t="s">
        <v>2596</v>
      </c>
    </row>
    <row r="41" spans="1:4">
      <c r="A41" t="s">
        <v>565</v>
      </c>
      <c r="B41" s="76">
        <v>0.34835671050744005</v>
      </c>
      <c r="C41" s="77" t="s">
        <v>1991</v>
      </c>
      <c r="D41" s="74" t="s">
        <v>2596</v>
      </c>
    </row>
    <row r="42" spans="1:4">
      <c r="A42" t="s">
        <v>568</v>
      </c>
      <c r="B42" s="76">
        <v>2.5704079089388076E-4</v>
      </c>
      <c r="C42" s="77" t="s">
        <v>1991</v>
      </c>
      <c r="D42" s="74" t="s">
        <v>2597</v>
      </c>
    </row>
    <row r="43" spans="1:4">
      <c r="A43" t="s">
        <v>571</v>
      </c>
      <c r="B43" s="76">
        <v>0.47999087624079784</v>
      </c>
      <c r="C43" s="77" t="s">
        <v>1991</v>
      </c>
      <c r="D43" s="74" t="s">
        <v>2597</v>
      </c>
    </row>
    <row r="44" spans="1:4">
      <c r="A44" t="s">
        <v>373</v>
      </c>
      <c r="B44" s="76">
        <v>0.29616411306730711</v>
      </c>
      <c r="C44" s="77" t="s">
        <v>1991</v>
      </c>
      <c r="D44" s="74" t="s">
        <v>2597</v>
      </c>
    </row>
    <row r="45" spans="1:4">
      <c r="A45" t="s">
        <v>575</v>
      </c>
      <c r="B45" s="76">
        <v>0.2162305750653899</v>
      </c>
      <c r="C45" s="77" t="s">
        <v>1991</v>
      </c>
      <c r="D45" s="74" t="s">
        <v>2597</v>
      </c>
    </row>
    <row r="46" spans="1:4">
      <c r="A46" t="s">
        <v>577</v>
      </c>
      <c r="B46" s="76">
        <v>0.3096504093399467</v>
      </c>
      <c r="C46" s="77" t="s">
        <v>1991</v>
      </c>
      <c r="D46" s="74" t="s">
        <v>2597</v>
      </c>
    </row>
    <row r="48" spans="1:4">
      <c r="A48" s="1" t="s">
        <v>2029</v>
      </c>
    </row>
    <row r="49" spans="1:5">
      <c r="A49" s="65" t="s">
        <v>2030</v>
      </c>
      <c r="B49" s="65" t="s">
        <v>724</v>
      </c>
      <c r="C49" s="65" t="s">
        <v>19</v>
      </c>
      <c r="D49" s="65" t="s">
        <v>1987</v>
      </c>
    </row>
    <row r="50" spans="1:5">
      <c r="A50" t="s">
        <v>2031</v>
      </c>
      <c r="B50" s="76">
        <v>0.14973498757984421</v>
      </c>
      <c r="C50" s="77" t="s">
        <v>2002</v>
      </c>
      <c r="D50" s="74" t="s">
        <v>2598</v>
      </c>
    </row>
    <row r="51" spans="1:5">
      <c r="A51" t="s">
        <v>2032</v>
      </c>
      <c r="B51" s="76">
        <v>2.5050145501265423E-3</v>
      </c>
      <c r="C51" s="77" t="s">
        <v>2002</v>
      </c>
      <c r="D51" s="74" t="s">
        <v>2034</v>
      </c>
    </row>
    <row r="52" spans="1:5">
      <c r="A52" t="s">
        <v>2033</v>
      </c>
      <c r="B52" s="76">
        <v>1.8214596E-2</v>
      </c>
      <c r="C52" s="77" t="s">
        <v>2002</v>
      </c>
      <c r="D52" s="74" t="s">
        <v>2034</v>
      </c>
    </row>
    <row r="53" spans="1:5">
      <c r="A53" t="s">
        <v>241</v>
      </c>
      <c r="B53" s="76">
        <v>2.262568364819908</v>
      </c>
      <c r="C53" s="77" t="s">
        <v>2002</v>
      </c>
      <c r="D53" s="74" t="s">
        <v>2599</v>
      </c>
      <c r="E53" t="s">
        <v>2600</v>
      </c>
    </row>
    <row r="54" spans="1:5">
      <c r="A54" t="s">
        <v>242</v>
      </c>
      <c r="B54" s="76">
        <v>2.2477127389274094</v>
      </c>
      <c r="C54" s="77" t="s">
        <v>2002</v>
      </c>
      <c r="D54" s="74" t="s">
        <v>2599</v>
      </c>
    </row>
    <row r="55" spans="1:5">
      <c r="A55" t="s">
        <v>2035</v>
      </c>
      <c r="B55" s="76">
        <v>2.262568364819908</v>
      </c>
      <c r="C55" s="77" t="s">
        <v>2002</v>
      </c>
      <c r="D55" s="74" t="s">
        <v>2599</v>
      </c>
    </row>
    <row r="56" spans="1:5">
      <c r="A56" t="s">
        <v>361</v>
      </c>
      <c r="B56" s="76">
        <v>2.2490503144625804</v>
      </c>
      <c r="C56" s="77" t="s">
        <v>2002</v>
      </c>
      <c r="D56" s="74" t="s">
        <v>2599</v>
      </c>
    </row>
    <row r="57" spans="1:5">
      <c r="A57" t="s">
        <v>2036</v>
      </c>
      <c r="B57" s="76">
        <v>1.8418078796361145E-2</v>
      </c>
      <c r="C57" s="77" t="s">
        <v>1988</v>
      </c>
      <c r="D57" s="74" t="s">
        <v>2601</v>
      </c>
    </row>
    <row r="58" spans="1:5">
      <c r="A58" t="s">
        <v>2037</v>
      </c>
      <c r="B58" s="76">
        <v>2.1738082398724833E-2</v>
      </c>
      <c r="C58" s="77" t="s">
        <v>1988</v>
      </c>
      <c r="D58" s="74" t="s">
        <v>2602</v>
      </c>
    </row>
    <row r="59" spans="1:5">
      <c r="A59" t="s">
        <v>2038</v>
      </c>
      <c r="B59" s="76">
        <v>1.8418078796361145E-2</v>
      </c>
      <c r="C59" s="77" t="s">
        <v>1988</v>
      </c>
      <c r="D59" s="74" t="s">
        <v>2602</v>
      </c>
    </row>
    <row r="60" spans="1:5">
      <c r="A60" t="s">
        <v>2039</v>
      </c>
      <c r="B60" s="76">
        <v>2.6656886129020223</v>
      </c>
      <c r="C60" s="77" t="s">
        <v>1988</v>
      </c>
      <c r="D60" s="74" t="s">
        <v>2603</v>
      </c>
    </row>
    <row r="61" spans="1:5">
      <c r="A61" t="s">
        <v>2040</v>
      </c>
      <c r="B61" s="76">
        <v>2.6690086165043856</v>
      </c>
      <c r="C61" s="77" t="s">
        <v>1988</v>
      </c>
      <c r="D61" s="74" t="s">
        <v>2602</v>
      </c>
    </row>
    <row r="62" spans="1:5">
      <c r="A62" t="s">
        <v>2041</v>
      </c>
      <c r="B62" s="76">
        <v>2.6656886129020223</v>
      </c>
      <c r="C62" s="77" t="s">
        <v>1988</v>
      </c>
      <c r="D62" s="74" t="s">
        <v>2602</v>
      </c>
    </row>
    <row r="63" spans="1:5">
      <c r="A63" t="s">
        <v>141</v>
      </c>
      <c r="B63" s="76">
        <v>2.653113095499152</v>
      </c>
      <c r="C63" s="77" t="s">
        <v>2002</v>
      </c>
      <c r="D63" s="74" t="s">
        <v>2588</v>
      </c>
      <c r="E63" t="s">
        <v>2600</v>
      </c>
    </row>
    <row r="64" spans="1:5">
      <c r="A64" t="s">
        <v>2042</v>
      </c>
      <c r="B64" s="76">
        <v>2.653113095499152</v>
      </c>
      <c r="C64" s="77" t="s">
        <v>2002</v>
      </c>
      <c r="D64" s="74" t="s">
        <v>2588</v>
      </c>
      <c r="E64" t="s">
        <v>2600</v>
      </c>
    </row>
    <row r="65" spans="1:6">
      <c r="A65" t="s">
        <v>2043</v>
      </c>
      <c r="B65" s="76">
        <v>2.653113095499152</v>
      </c>
      <c r="C65" s="77" t="s">
        <v>2002</v>
      </c>
      <c r="D65" s="74" t="s">
        <v>2588</v>
      </c>
      <c r="E65" t="s">
        <v>2600</v>
      </c>
    </row>
    <row r="66" spans="1:6">
      <c r="A66" t="s">
        <v>2044</v>
      </c>
      <c r="B66" s="76">
        <v>2.653113095499152</v>
      </c>
      <c r="C66" s="77" t="s">
        <v>2002</v>
      </c>
      <c r="D66" s="74" t="s">
        <v>2588</v>
      </c>
      <c r="E66" t="s">
        <v>2600</v>
      </c>
    </row>
    <row r="67" spans="1:6">
      <c r="A67" t="s">
        <v>2045</v>
      </c>
      <c r="B67" s="76">
        <v>2.653113095499152</v>
      </c>
      <c r="C67" s="77" t="s">
        <v>2002</v>
      </c>
      <c r="D67" s="74" t="s">
        <v>2588</v>
      </c>
    </row>
    <row r="68" spans="1:6">
      <c r="A68" t="s">
        <v>329</v>
      </c>
      <c r="B68" s="76">
        <v>2.6261575679255245</v>
      </c>
      <c r="C68" s="77" t="s">
        <v>2002</v>
      </c>
      <c r="D68" s="74" t="s">
        <v>2588</v>
      </c>
    </row>
    <row r="69" spans="1:6">
      <c r="A69" t="s">
        <v>2046</v>
      </c>
      <c r="B69" s="76">
        <v>2.653113095499152</v>
      </c>
      <c r="C69" s="77" t="s">
        <v>2002</v>
      </c>
      <c r="D69" s="74" t="s">
        <v>2588</v>
      </c>
    </row>
    <row r="70" spans="1:6">
      <c r="A70" t="s">
        <v>2047</v>
      </c>
      <c r="B70" s="76">
        <v>2.6322537856063595</v>
      </c>
      <c r="C70" s="77" t="s">
        <v>2002</v>
      </c>
      <c r="D70" s="74" t="s">
        <v>2588</v>
      </c>
    </row>
    <row r="71" spans="1:6">
      <c r="A71" t="s">
        <v>2048</v>
      </c>
      <c r="B71" s="76">
        <v>2.8966659218280872</v>
      </c>
      <c r="C71" s="77" t="s">
        <v>1988</v>
      </c>
      <c r="D71" s="74" t="s">
        <v>2604</v>
      </c>
    </row>
    <row r="72" spans="1:6">
      <c r="A72" t="s">
        <v>2049</v>
      </c>
      <c r="B72" s="76">
        <v>2.8966659218280872</v>
      </c>
      <c r="C72" s="77" t="s">
        <v>1988</v>
      </c>
      <c r="D72" s="74" t="s">
        <v>2604</v>
      </c>
    </row>
    <row r="73" spans="1:6">
      <c r="A73" t="s">
        <v>2050</v>
      </c>
      <c r="B73" s="76">
        <v>2.8966659218280872</v>
      </c>
      <c r="C73" s="77" t="s">
        <v>1988</v>
      </c>
      <c r="D73" s="74" t="s">
        <v>2605</v>
      </c>
    </row>
    <row r="75" spans="1:6">
      <c r="A75" s="1" t="s">
        <v>2051</v>
      </c>
    </row>
    <row r="76" spans="1:6">
      <c r="A76" s="65" t="s">
        <v>1986</v>
      </c>
      <c r="B76" s="65" t="s">
        <v>724</v>
      </c>
      <c r="C76" s="65" t="s">
        <v>19</v>
      </c>
      <c r="D76" s="65" t="s">
        <v>1987</v>
      </c>
    </row>
    <row r="77" spans="1:6">
      <c r="A77" t="s">
        <v>147</v>
      </c>
      <c r="B77" s="76">
        <f>30.4/1000</f>
        <v>3.04E-2</v>
      </c>
      <c r="C77" s="77" t="s">
        <v>1988</v>
      </c>
      <c r="D77" s="74" t="s">
        <v>2052</v>
      </c>
    </row>
    <row r="78" spans="1:6">
      <c r="A78" t="s">
        <v>1990</v>
      </c>
      <c r="B78" s="76">
        <v>7.92E-3</v>
      </c>
      <c r="C78" s="77" t="s">
        <v>1991</v>
      </c>
      <c r="D78" s="74" t="s">
        <v>2052</v>
      </c>
    </row>
    <row r="79" spans="1:6">
      <c r="A79" t="s">
        <v>1994</v>
      </c>
      <c r="B79" s="76">
        <v>2.8410000000000001E-2</v>
      </c>
      <c r="C79" s="77" t="s">
        <v>1991</v>
      </c>
      <c r="D79" s="74" t="s">
        <v>2052</v>
      </c>
    </row>
    <row r="80" spans="1:6">
      <c r="A80" t="s">
        <v>1996</v>
      </c>
      <c r="B80" s="76">
        <f>157.83/1.15</f>
        <v>137.24347826086958</v>
      </c>
      <c r="C80" s="77" t="s">
        <v>1997</v>
      </c>
      <c r="D80" s="74" t="s">
        <v>2052</v>
      </c>
      <c r="F80" t="s">
        <v>2053</v>
      </c>
    </row>
    <row r="81" spans="1:4">
      <c r="A81" t="s">
        <v>1999</v>
      </c>
      <c r="B81" s="76">
        <v>6.2640000000000001E-2</v>
      </c>
      <c r="C81" s="77" t="s">
        <v>1991</v>
      </c>
      <c r="D81" s="74" t="s">
        <v>2052</v>
      </c>
    </row>
    <row r="82" spans="1:4">
      <c r="A82" t="s">
        <v>2001</v>
      </c>
      <c r="B82" s="76">
        <v>0.62873999999999997</v>
      </c>
      <c r="C82" s="77" t="s">
        <v>2002</v>
      </c>
      <c r="D82" s="74" t="s">
        <v>2052</v>
      </c>
    </row>
    <row r="83" spans="1:4">
      <c r="A83" t="s">
        <v>369</v>
      </c>
      <c r="B83" s="76">
        <f>740.69721/1000</f>
        <v>0.74069720999999999</v>
      </c>
      <c r="C83" s="77" t="s">
        <v>1988</v>
      </c>
      <c r="D83" s="74" t="s">
        <v>2052</v>
      </c>
    </row>
    <row r="84" spans="1:4">
      <c r="A84" t="s">
        <v>2004</v>
      </c>
      <c r="B84" s="76">
        <v>6.2640000000000001E-2</v>
      </c>
      <c r="C84" s="77" t="s">
        <v>1991</v>
      </c>
      <c r="D84" s="74" t="s">
        <v>2052</v>
      </c>
    </row>
    <row r="85" spans="1:4">
      <c r="A85" t="s">
        <v>2006</v>
      </c>
      <c r="B85" s="76">
        <v>3.4459999999999998E-2</v>
      </c>
      <c r="C85" s="77" t="s">
        <v>1991</v>
      </c>
      <c r="D85" s="74" t="s">
        <v>2052</v>
      </c>
    </row>
    <row r="86" spans="1:4">
      <c r="A86" t="s">
        <v>149</v>
      </c>
      <c r="B86" s="76">
        <v>0.34339999999999998</v>
      </c>
      <c r="C86" s="77" t="s">
        <v>1997</v>
      </c>
      <c r="D86" s="74" t="s">
        <v>2052</v>
      </c>
    </row>
    <row r="87" spans="1:4">
      <c r="A87" t="s">
        <v>2011</v>
      </c>
      <c r="B87" s="76">
        <v>0.48221999999999998</v>
      </c>
      <c r="C87" s="77" t="s">
        <v>1988</v>
      </c>
      <c r="D87" s="74" t="s">
        <v>2054</v>
      </c>
    </row>
    <row r="88" spans="1:4">
      <c r="A88" t="s">
        <v>2012</v>
      </c>
      <c r="B88" s="76">
        <v>4.103996716802627E-2</v>
      </c>
      <c r="C88" s="77" t="s">
        <v>1991</v>
      </c>
      <c r="D88" s="74" t="s">
        <v>2054</v>
      </c>
    </row>
    <row r="89" spans="1:4">
      <c r="A89" t="s">
        <v>2013</v>
      </c>
      <c r="B89" s="76">
        <v>0.45030000000000003</v>
      </c>
      <c r="C89" s="77" t="s">
        <v>1988</v>
      </c>
      <c r="D89" s="74" t="s">
        <v>2055</v>
      </c>
    </row>
    <row r="90" spans="1:4">
      <c r="A90" t="s">
        <v>2014</v>
      </c>
      <c r="B90" s="76">
        <v>4.103996716802627E-2</v>
      </c>
      <c r="C90" s="77" t="s">
        <v>1991</v>
      </c>
      <c r="D90" s="74" t="s">
        <v>2055</v>
      </c>
    </row>
    <row r="91" spans="1:4">
      <c r="A91" t="s">
        <v>2015</v>
      </c>
      <c r="B91" s="76">
        <f>709.08076/1000</f>
        <v>0.70908076000000009</v>
      </c>
      <c r="C91" s="77" t="s">
        <v>1988</v>
      </c>
      <c r="D91" s="74" t="s">
        <v>2052</v>
      </c>
    </row>
    <row r="92" spans="1:4">
      <c r="A92" t="s">
        <v>2016</v>
      </c>
      <c r="B92" s="76">
        <v>6.2640000000000001E-2</v>
      </c>
      <c r="C92" s="77" t="s">
        <v>1991</v>
      </c>
      <c r="D92" s="74" t="s">
        <v>2052</v>
      </c>
    </row>
    <row r="93" spans="1:4">
      <c r="A93" t="s">
        <v>2017</v>
      </c>
      <c r="B93" s="76">
        <v>7.0550000000000002E-2</v>
      </c>
      <c r="C93" s="77" t="s">
        <v>1991</v>
      </c>
      <c r="D93" s="74" t="s">
        <v>2052</v>
      </c>
    </row>
    <row r="94" spans="1:4">
      <c r="A94" t="s">
        <v>2018</v>
      </c>
      <c r="B94" s="76">
        <v>2.7189999999999999E-2</v>
      </c>
      <c r="C94" s="77" t="s">
        <v>1991</v>
      </c>
      <c r="D94" s="74" t="s">
        <v>2052</v>
      </c>
    </row>
    <row r="96" spans="1:4">
      <c r="A96" s="65" t="s">
        <v>536</v>
      </c>
      <c r="B96" s="65"/>
      <c r="C96" s="65"/>
      <c r="D96" s="65"/>
    </row>
    <row r="97" spans="1:4">
      <c r="A97" t="s">
        <v>489</v>
      </c>
      <c r="B97" s="75">
        <v>5.59</v>
      </c>
      <c r="C97" t="s">
        <v>34</v>
      </c>
      <c r="D97" t="s">
        <v>2056</v>
      </c>
    </row>
    <row r="98" spans="1:4">
      <c r="A98" t="s">
        <v>455</v>
      </c>
      <c r="B98">
        <v>10.4</v>
      </c>
      <c r="C98" t="s">
        <v>34</v>
      </c>
      <c r="D98" t="s">
        <v>2057</v>
      </c>
    </row>
    <row r="100" spans="1:4">
      <c r="A100" s="65" t="s">
        <v>2030</v>
      </c>
      <c r="B100" s="65" t="s">
        <v>724</v>
      </c>
      <c r="C100" s="65" t="s">
        <v>19</v>
      </c>
      <c r="D100" s="65" t="s">
        <v>1987</v>
      </c>
    </row>
    <row r="101" spans="1:4">
      <c r="A101" t="s">
        <v>2031</v>
      </c>
      <c r="B101" s="76">
        <v>0.36332999999999999</v>
      </c>
      <c r="C101" s="77" t="s">
        <v>2002</v>
      </c>
      <c r="D101" s="74"/>
    </row>
    <row r="102" spans="1:4">
      <c r="A102" t="s">
        <v>2032</v>
      </c>
      <c r="B102" s="76">
        <v>0.35177999999999998</v>
      </c>
      <c r="C102" s="77" t="s">
        <v>2002</v>
      </c>
      <c r="D102" s="74" t="s">
        <v>2052</v>
      </c>
    </row>
    <row r="103" spans="1:4">
      <c r="A103" t="s">
        <v>2033</v>
      </c>
      <c r="B103" s="76">
        <v>0.36332999999999999</v>
      </c>
      <c r="C103" s="77" t="s">
        <v>2002</v>
      </c>
      <c r="D103" s="74" t="s">
        <v>2052</v>
      </c>
    </row>
    <row r="104" spans="1:4">
      <c r="A104" t="s">
        <v>241</v>
      </c>
      <c r="B104" s="76">
        <v>0.60282999999999998</v>
      </c>
      <c r="C104" s="77" t="s">
        <v>2002</v>
      </c>
      <c r="D104" s="74" t="s">
        <v>2052</v>
      </c>
    </row>
    <row r="105" spans="1:4">
      <c r="A105" t="s">
        <v>242</v>
      </c>
      <c r="B105" s="76">
        <v>0.60282999999999998</v>
      </c>
      <c r="C105" s="77" t="s">
        <v>2002</v>
      </c>
      <c r="D105" s="74" t="s">
        <v>2052</v>
      </c>
    </row>
    <row r="106" spans="1:4">
      <c r="A106" t="s">
        <v>2035</v>
      </c>
      <c r="B106" s="76">
        <v>0.60282999999999998</v>
      </c>
      <c r="C106" s="77" t="s">
        <v>2002</v>
      </c>
      <c r="D106" s="74" t="s">
        <v>2052</v>
      </c>
    </row>
    <row r="107" spans="1:4">
      <c r="A107" t="s">
        <v>361</v>
      </c>
      <c r="B107" s="76">
        <v>0.60282999999999998</v>
      </c>
      <c r="C107" s="77" t="s">
        <v>2002</v>
      </c>
      <c r="D107" s="74" t="s">
        <v>2052</v>
      </c>
    </row>
    <row r="108" spans="1:4">
      <c r="A108" t="s">
        <v>2036</v>
      </c>
      <c r="B108" s="76">
        <v>0.55701000000000001</v>
      </c>
      <c r="C108" s="77" t="s">
        <v>1988</v>
      </c>
      <c r="D108" s="74" t="s">
        <v>2052</v>
      </c>
    </row>
    <row r="109" spans="1:4">
      <c r="A109" t="s">
        <v>2037</v>
      </c>
      <c r="B109" s="76">
        <v>0.55701000000000001</v>
      </c>
      <c r="C109" s="77" t="s">
        <v>1988</v>
      </c>
      <c r="D109" s="74" t="s">
        <v>2052</v>
      </c>
    </row>
    <row r="110" spans="1:4">
      <c r="A110" t="s">
        <v>2038</v>
      </c>
      <c r="B110" s="76">
        <v>0.55701000000000001</v>
      </c>
      <c r="C110" s="77" t="s">
        <v>1988</v>
      </c>
      <c r="D110" s="74" t="s">
        <v>2052</v>
      </c>
    </row>
    <row r="111" spans="1:4">
      <c r="A111" t="s">
        <v>2039</v>
      </c>
      <c r="B111" s="76">
        <f>537.6183/1000</f>
        <v>0.53761829999999999</v>
      </c>
      <c r="C111" s="77" t="s">
        <v>1988</v>
      </c>
      <c r="D111" s="74" t="s">
        <v>2052</v>
      </c>
    </row>
    <row r="112" spans="1:4">
      <c r="A112" t="s">
        <v>2040</v>
      </c>
      <c r="B112" s="76">
        <f>537.6183/1000</f>
        <v>0.53761829999999999</v>
      </c>
      <c r="C112" s="77" t="s">
        <v>1988</v>
      </c>
      <c r="D112" s="74" t="s">
        <v>2052</v>
      </c>
    </row>
    <row r="113" spans="1:4">
      <c r="A113" t="s">
        <v>2041</v>
      </c>
      <c r="B113" s="76">
        <f>537.6183/1000</f>
        <v>0.53761829999999999</v>
      </c>
      <c r="C113" s="77" t="s">
        <v>1988</v>
      </c>
      <c r="D113" s="74" t="s">
        <v>2052</v>
      </c>
    </row>
    <row r="114" spans="1:4">
      <c r="A114" t="s">
        <v>141</v>
      </c>
      <c r="B114" s="76">
        <v>0.62873999999999997</v>
      </c>
      <c r="C114" s="77" t="s">
        <v>2002</v>
      </c>
      <c r="D114" s="74" t="s">
        <v>2052</v>
      </c>
    </row>
    <row r="115" spans="1:4">
      <c r="A115" t="s">
        <v>2042</v>
      </c>
      <c r="B115" s="76">
        <v>0.62873999999999997</v>
      </c>
      <c r="C115" s="77" t="s">
        <v>2002</v>
      </c>
      <c r="D115" s="74" t="s">
        <v>2052</v>
      </c>
    </row>
    <row r="116" spans="1:4">
      <c r="A116" t="s">
        <v>2043</v>
      </c>
      <c r="B116" s="76">
        <v>0.62873999999999997</v>
      </c>
      <c r="C116" s="77" t="s">
        <v>2002</v>
      </c>
      <c r="D116" s="74" t="s">
        <v>2052</v>
      </c>
    </row>
    <row r="117" spans="1:4">
      <c r="A117" t="s">
        <v>2044</v>
      </c>
      <c r="B117" s="76">
        <v>0.62873999999999997</v>
      </c>
      <c r="C117" s="77" t="s">
        <v>2002</v>
      </c>
      <c r="D117" s="74" t="s">
        <v>2052</v>
      </c>
    </row>
    <row r="118" spans="1:4">
      <c r="A118" t="s">
        <v>2045</v>
      </c>
      <c r="B118" s="76">
        <v>0.62873999999999997</v>
      </c>
      <c r="C118" s="77" t="s">
        <v>2002</v>
      </c>
      <c r="D118" s="74" t="s">
        <v>2052</v>
      </c>
    </row>
    <row r="119" spans="1:4">
      <c r="A119" t="s">
        <v>329</v>
      </c>
      <c r="B119" s="76">
        <v>0.62873999999999997</v>
      </c>
      <c r="C119" s="77" t="s">
        <v>2002</v>
      </c>
      <c r="D119" s="74" t="s">
        <v>2052</v>
      </c>
    </row>
    <row r="120" spans="1:4">
      <c r="A120" t="s">
        <v>2046</v>
      </c>
      <c r="B120" s="76">
        <v>0.62873999999999997</v>
      </c>
      <c r="C120" s="77" t="s">
        <v>2002</v>
      </c>
      <c r="D120" s="74" t="s">
        <v>2052</v>
      </c>
    </row>
    <row r="121" spans="1:4">
      <c r="A121" t="s">
        <v>2047</v>
      </c>
      <c r="B121" s="76">
        <v>0.62873999999999997</v>
      </c>
      <c r="C121" s="77" t="s">
        <v>2002</v>
      </c>
      <c r="D121" s="74" t="s">
        <v>2052</v>
      </c>
    </row>
    <row r="122" spans="1:4">
      <c r="A122" t="s">
        <v>2048</v>
      </c>
      <c r="B122" s="76">
        <v>0.18382999999999999</v>
      </c>
      <c r="C122" s="77" t="s">
        <v>1988</v>
      </c>
      <c r="D122" s="74" t="s">
        <v>2052</v>
      </c>
    </row>
    <row r="123" spans="1:4">
      <c r="A123" t="s">
        <v>2049</v>
      </c>
      <c r="B123" s="76">
        <v>0.18382999999999999</v>
      </c>
      <c r="C123" s="77" t="s">
        <v>1988</v>
      </c>
      <c r="D123" s="74" t="s">
        <v>2052</v>
      </c>
    </row>
    <row r="124" spans="1:4">
      <c r="A124" t="s">
        <v>2050</v>
      </c>
      <c r="B124" s="76">
        <v>0.18382999999999999</v>
      </c>
      <c r="C124" s="77" t="s">
        <v>1988</v>
      </c>
      <c r="D124" s="74" t="s">
        <v>2052</v>
      </c>
    </row>
    <row r="126" spans="1:4">
      <c r="A126" s="1" t="s">
        <v>486</v>
      </c>
    </row>
    <row r="127" spans="1:4">
      <c r="A127" s="65" t="s">
        <v>2058</v>
      </c>
      <c r="B127" s="65" t="s">
        <v>2059</v>
      </c>
      <c r="C127" s="65" t="s">
        <v>2060</v>
      </c>
      <c r="D127" s="65" t="s">
        <v>1987</v>
      </c>
    </row>
    <row r="128" spans="1:4">
      <c r="A128" t="s">
        <v>376</v>
      </c>
      <c r="B128" s="77" t="s">
        <v>2061</v>
      </c>
      <c r="C128" s="76">
        <v>491</v>
      </c>
      <c r="D128" s="74" t="s">
        <v>2109</v>
      </c>
    </row>
    <row r="129" spans="1:4">
      <c r="A129" t="s">
        <v>2063</v>
      </c>
      <c r="B129" s="77" t="s">
        <v>2064</v>
      </c>
      <c r="C129" s="76">
        <v>3170</v>
      </c>
      <c r="D129" s="74" t="s">
        <v>2109</v>
      </c>
    </row>
    <row r="130" spans="1:4">
      <c r="A130" t="s">
        <v>2065</v>
      </c>
      <c r="B130" s="77" t="s">
        <v>2066</v>
      </c>
      <c r="C130" s="76">
        <v>1120</v>
      </c>
      <c r="D130" s="74" t="s">
        <v>2109</v>
      </c>
    </row>
    <row r="131" spans="1:4">
      <c r="A131" t="s">
        <v>378</v>
      </c>
      <c r="B131" s="77" t="s">
        <v>2066</v>
      </c>
      <c r="C131" s="76">
        <v>1300</v>
      </c>
      <c r="D131" s="74" t="s">
        <v>2109</v>
      </c>
    </row>
    <row r="132" spans="1:4">
      <c r="A132" t="s">
        <v>2067</v>
      </c>
      <c r="B132" s="77" t="s">
        <v>2068</v>
      </c>
      <c r="C132" s="76">
        <v>328</v>
      </c>
      <c r="D132" s="74" t="s">
        <v>2109</v>
      </c>
    </row>
    <row r="133" spans="1:4">
      <c r="A133" t="s">
        <v>2069</v>
      </c>
      <c r="B133" s="77" t="s">
        <v>2068</v>
      </c>
      <c r="C133" s="76">
        <v>4800</v>
      </c>
      <c r="D133" s="74" t="s">
        <v>2109</v>
      </c>
    </row>
    <row r="134" spans="1:4">
      <c r="A134" t="s">
        <v>2070</v>
      </c>
      <c r="B134" s="77" t="s">
        <v>2071</v>
      </c>
      <c r="C134" s="76">
        <v>16</v>
      </c>
      <c r="D134" s="74" t="s">
        <v>2109</v>
      </c>
    </row>
    <row r="135" spans="1:4">
      <c r="A135" t="s">
        <v>2072</v>
      </c>
      <c r="B135" s="77" t="s">
        <v>2071</v>
      </c>
      <c r="C135" s="76">
        <v>138</v>
      </c>
      <c r="D135" s="74" t="s">
        <v>2109</v>
      </c>
    </row>
    <row r="136" spans="1:4">
      <c r="A136" t="s">
        <v>2073</v>
      </c>
      <c r="B136" s="77" t="s">
        <v>2074</v>
      </c>
      <c r="C136" s="76">
        <v>4</v>
      </c>
      <c r="D136" s="74" t="s">
        <v>2109</v>
      </c>
    </row>
    <row r="137" spans="1:4">
      <c r="A137" t="s">
        <v>2075</v>
      </c>
      <c r="B137" s="77" t="s">
        <v>2076</v>
      </c>
      <c r="C137" s="76">
        <v>3350</v>
      </c>
      <c r="D137" s="74" t="s">
        <v>2109</v>
      </c>
    </row>
    <row r="138" spans="1:4">
      <c r="A138" t="s">
        <v>379</v>
      </c>
      <c r="B138" s="77" t="s">
        <v>2077</v>
      </c>
      <c r="C138" s="76">
        <v>12400</v>
      </c>
      <c r="D138" s="74" t="s">
        <v>2109</v>
      </c>
    </row>
    <row r="139" spans="1:4">
      <c r="A139" t="s">
        <v>2078</v>
      </c>
      <c r="B139" s="77" t="s">
        <v>2079</v>
      </c>
      <c r="C139" s="76">
        <v>1210</v>
      </c>
      <c r="D139" s="74" t="s">
        <v>2109</v>
      </c>
    </row>
    <row r="140" spans="1:4">
      <c r="A140" t="s">
        <v>2080</v>
      </c>
      <c r="B140" s="77" t="s">
        <v>2079</v>
      </c>
      <c r="C140" s="76">
        <v>1330</v>
      </c>
      <c r="D140" s="74" t="s">
        <v>2109</v>
      </c>
    </row>
    <row r="141" spans="1:4">
      <c r="A141" t="s">
        <v>2081</v>
      </c>
      <c r="B141" s="77" t="s">
        <v>2079</v>
      </c>
      <c r="C141" s="76">
        <v>8060</v>
      </c>
      <c r="D141" s="74" t="s">
        <v>2109</v>
      </c>
    </row>
    <row r="142" spans="1:4">
      <c r="A142" t="s">
        <v>2082</v>
      </c>
      <c r="B142" s="77" t="s">
        <v>2083</v>
      </c>
      <c r="C142" s="76">
        <v>716</v>
      </c>
      <c r="D142" s="74" t="s">
        <v>2109</v>
      </c>
    </row>
    <row r="143" spans="1:4">
      <c r="A143" t="s">
        <v>2084</v>
      </c>
      <c r="B143" s="77" t="s">
        <v>2083</v>
      </c>
      <c r="C143" s="76">
        <v>858</v>
      </c>
      <c r="D143" s="74" t="s">
        <v>2109</v>
      </c>
    </row>
    <row r="144" spans="1:4">
      <c r="A144" t="s">
        <v>2085</v>
      </c>
      <c r="B144" s="77" t="s">
        <v>2086</v>
      </c>
      <c r="C144" s="76">
        <v>677</v>
      </c>
      <c r="D144" s="74" t="s">
        <v>2109</v>
      </c>
    </row>
    <row r="145" spans="1:4">
      <c r="A145" t="s">
        <v>2087</v>
      </c>
      <c r="B145" s="77" t="s">
        <v>2088</v>
      </c>
      <c r="C145" s="76">
        <v>804</v>
      </c>
      <c r="D145" s="74" t="s">
        <v>2109</v>
      </c>
    </row>
    <row r="146" spans="1:4">
      <c r="A146" t="s">
        <v>2089</v>
      </c>
      <c r="B146" s="77" t="s">
        <v>2090</v>
      </c>
      <c r="C146" s="76">
        <v>116</v>
      </c>
      <c r="D146" s="74" t="s">
        <v>2109</v>
      </c>
    </row>
    <row r="147" spans="1:4">
      <c r="A147" t="s">
        <v>2091</v>
      </c>
      <c r="B147" s="77" t="s">
        <v>2092</v>
      </c>
      <c r="C147" s="76">
        <v>1650</v>
      </c>
      <c r="D147" s="74" t="s">
        <v>2109</v>
      </c>
    </row>
    <row r="148" spans="1:4">
      <c r="A148" t="s">
        <v>2093</v>
      </c>
      <c r="B148" s="77" t="s">
        <v>2094</v>
      </c>
      <c r="C148" s="76">
        <v>12400</v>
      </c>
      <c r="D148" s="74" t="s">
        <v>2109</v>
      </c>
    </row>
    <row r="149" spans="1:4">
      <c r="A149" t="s">
        <v>2095</v>
      </c>
      <c r="B149" s="77" t="s">
        <v>2096</v>
      </c>
      <c r="C149" s="76">
        <v>5560</v>
      </c>
      <c r="D149" s="74" t="s">
        <v>2109</v>
      </c>
    </row>
    <row r="150" spans="1:4">
      <c r="A150" t="s">
        <v>2097</v>
      </c>
      <c r="B150" s="77" t="s">
        <v>2098</v>
      </c>
      <c r="C150" s="76">
        <v>523</v>
      </c>
      <c r="D150" s="74" t="s">
        <v>2109</v>
      </c>
    </row>
    <row r="151" spans="1:4">
      <c r="A151" t="s">
        <v>2099</v>
      </c>
      <c r="B151" s="77" t="s">
        <v>2100</v>
      </c>
      <c r="C151" s="76">
        <v>5350</v>
      </c>
      <c r="D151" s="74" t="s">
        <v>2109</v>
      </c>
    </row>
    <row r="152" spans="1:4">
      <c r="A152" t="s">
        <v>2101</v>
      </c>
      <c r="B152" s="77" t="s">
        <v>2102</v>
      </c>
      <c r="C152" s="76">
        <v>654</v>
      </c>
      <c r="D152" s="74" t="s">
        <v>2109</v>
      </c>
    </row>
    <row r="153" spans="1:4">
      <c r="A153" t="s">
        <v>2103</v>
      </c>
      <c r="B153" s="77" t="s">
        <v>2104</v>
      </c>
      <c r="C153" s="76">
        <v>812</v>
      </c>
      <c r="D153" s="74" t="s">
        <v>2109</v>
      </c>
    </row>
    <row r="154" spans="1:4">
      <c r="A154" t="s">
        <v>2105</v>
      </c>
      <c r="B154" s="77" t="s">
        <v>2106</v>
      </c>
      <c r="C154" s="76">
        <v>2910</v>
      </c>
      <c r="D154" s="74" t="s">
        <v>2109</v>
      </c>
    </row>
    <row r="155" spans="1:4">
      <c r="A155" t="s">
        <v>2107</v>
      </c>
      <c r="B155" s="77" t="s">
        <v>2108</v>
      </c>
      <c r="C155" s="76">
        <v>530</v>
      </c>
      <c r="D155" s="74" t="s">
        <v>2109</v>
      </c>
    </row>
    <row r="156" spans="1:4">
      <c r="A156" t="s">
        <v>2606</v>
      </c>
      <c r="B156" s="77" t="s">
        <v>2607</v>
      </c>
      <c r="C156" s="76">
        <v>854</v>
      </c>
      <c r="D156" s="74" t="s">
        <v>2109</v>
      </c>
    </row>
    <row r="157" spans="1:4">
      <c r="A157" t="s">
        <v>2110</v>
      </c>
      <c r="B157" s="77" t="s">
        <v>2111</v>
      </c>
      <c r="C157" s="76">
        <v>889</v>
      </c>
      <c r="D157" s="74" t="s">
        <v>2109</v>
      </c>
    </row>
    <row r="158" spans="1:4">
      <c r="A158" t="s">
        <v>2608</v>
      </c>
      <c r="B158" s="77" t="s">
        <v>2609</v>
      </c>
      <c r="C158" s="76">
        <v>387</v>
      </c>
      <c r="D158" s="74" t="s">
        <v>2109</v>
      </c>
    </row>
    <row r="159" spans="1:4">
      <c r="A159" t="s">
        <v>2610</v>
      </c>
      <c r="B159" s="77" t="s">
        <v>2611</v>
      </c>
      <c r="C159" s="76">
        <v>719</v>
      </c>
      <c r="D159" s="74" t="s">
        <v>2109</v>
      </c>
    </row>
    <row r="160" spans="1:4">
      <c r="A160" t="s">
        <v>2112</v>
      </c>
      <c r="B160" s="77" t="s">
        <v>2113</v>
      </c>
      <c r="C160" s="76">
        <v>413</v>
      </c>
      <c r="D160" s="74" t="s">
        <v>2109</v>
      </c>
    </row>
    <row r="161" spans="1:4">
      <c r="A161" t="s">
        <v>2114</v>
      </c>
      <c r="B161" s="77" t="s">
        <v>2115</v>
      </c>
      <c r="C161" s="76">
        <v>446</v>
      </c>
      <c r="D161" s="74" t="s">
        <v>2109</v>
      </c>
    </row>
    <row r="162" spans="1:4">
      <c r="A162" t="s">
        <v>2116</v>
      </c>
      <c r="B162" s="77" t="s">
        <v>2117</v>
      </c>
      <c r="C162" s="76">
        <v>627</v>
      </c>
      <c r="D162" s="74" t="s">
        <v>2109</v>
      </c>
    </row>
    <row r="163" spans="1:4">
      <c r="A163" t="s">
        <v>2118</v>
      </c>
      <c r="B163" s="77" t="s">
        <v>2119</v>
      </c>
      <c r="C163" s="76">
        <v>2820</v>
      </c>
      <c r="D163" s="74" t="s">
        <v>2109</v>
      </c>
    </row>
    <row r="164" spans="1:4">
      <c r="A164" t="s">
        <v>2120</v>
      </c>
      <c r="B164" s="77" t="s">
        <v>2121</v>
      </c>
      <c r="C164" s="76">
        <v>421</v>
      </c>
      <c r="D164" s="74" t="s">
        <v>2109</v>
      </c>
    </row>
    <row r="165" spans="1:4">
      <c r="A165" t="s">
        <v>2122</v>
      </c>
      <c r="B165" s="77" t="s">
        <v>2123</v>
      </c>
      <c r="C165" s="76">
        <v>57</v>
      </c>
      <c r="D165" s="74" t="s">
        <v>2109</v>
      </c>
    </row>
    <row r="166" spans="1:4">
      <c r="A166" t="s">
        <v>2124</v>
      </c>
      <c r="B166" s="77" t="s">
        <v>2125</v>
      </c>
      <c r="C166" s="76">
        <v>16100</v>
      </c>
      <c r="D166" s="74" t="s">
        <v>2109</v>
      </c>
    </row>
    <row r="167" spans="1:4">
      <c r="A167" t="s">
        <v>2126</v>
      </c>
      <c r="B167" s="77" t="s">
        <v>2127</v>
      </c>
      <c r="C167" s="76">
        <v>11100</v>
      </c>
      <c r="D167" s="74" t="s">
        <v>2109</v>
      </c>
    </row>
    <row r="168" spans="1:4">
      <c r="A168" t="s">
        <v>2128</v>
      </c>
      <c r="B168" s="77" t="s">
        <v>2129</v>
      </c>
      <c r="C168" s="76">
        <v>6630</v>
      </c>
      <c r="D168" s="74" t="s">
        <v>2109</v>
      </c>
    </row>
    <row r="169" spans="1:4">
      <c r="A169" t="s">
        <v>2130</v>
      </c>
      <c r="B169" s="77" t="s">
        <v>2131</v>
      </c>
      <c r="C169" s="76">
        <v>8900</v>
      </c>
      <c r="D169" s="74" t="s">
        <v>2109</v>
      </c>
    </row>
    <row r="170" spans="1:4">
      <c r="A170" t="s">
        <v>2612</v>
      </c>
      <c r="B170" s="77" t="s">
        <v>2132</v>
      </c>
      <c r="C170" s="76">
        <v>9200</v>
      </c>
      <c r="D170" s="74" t="s">
        <v>2109</v>
      </c>
    </row>
    <row r="171" spans="1:4">
      <c r="A171" t="s">
        <v>2133</v>
      </c>
      <c r="B171" s="77" t="s">
        <v>2134</v>
      </c>
      <c r="C171" s="76">
        <v>9540</v>
      </c>
      <c r="D171" s="74" t="s">
        <v>2109</v>
      </c>
    </row>
    <row r="172" spans="1:4">
      <c r="A172" t="s">
        <v>2613</v>
      </c>
      <c r="B172" s="77" t="s">
        <v>2135</v>
      </c>
      <c r="C172" s="76">
        <v>8550</v>
      </c>
      <c r="D172" s="74" t="s">
        <v>2109</v>
      </c>
    </row>
    <row r="173" spans="1:4">
      <c r="A173" t="s">
        <v>2614</v>
      </c>
      <c r="B173" s="77" t="s">
        <v>2136</v>
      </c>
      <c r="C173" s="76">
        <v>7910</v>
      </c>
      <c r="D173" s="74" t="s">
        <v>2109</v>
      </c>
    </row>
    <row r="174" spans="1:4">
      <c r="A174" t="s">
        <v>2615</v>
      </c>
      <c r="B174" s="77" t="s">
        <v>2137</v>
      </c>
      <c r="C174" s="76">
        <v>7190</v>
      </c>
      <c r="D174" s="74" t="s">
        <v>2109</v>
      </c>
    </row>
    <row r="175" spans="1:4">
      <c r="A175" t="s">
        <v>2138</v>
      </c>
      <c r="B175" s="77" t="s">
        <v>2139</v>
      </c>
      <c r="C175" s="76">
        <v>9710</v>
      </c>
      <c r="D175" s="74" t="s">
        <v>2109</v>
      </c>
    </row>
    <row r="176" spans="1:4">
      <c r="A176" t="s">
        <v>2140</v>
      </c>
      <c r="B176" s="77" t="s">
        <v>2141</v>
      </c>
      <c r="C176" s="76">
        <v>1129.92</v>
      </c>
      <c r="D176" s="74" t="s">
        <v>2109</v>
      </c>
    </row>
    <row r="177" spans="1:4">
      <c r="A177" t="s">
        <v>2142</v>
      </c>
      <c r="B177" s="77" t="s">
        <v>2141</v>
      </c>
      <c r="C177" s="76">
        <v>1236.3399999999999</v>
      </c>
      <c r="D177" s="74" t="s">
        <v>2109</v>
      </c>
    </row>
    <row r="178" spans="1:4">
      <c r="A178" t="s">
        <v>2143</v>
      </c>
      <c r="B178" s="77" t="s">
        <v>2141</v>
      </c>
      <c r="C178" s="76">
        <v>875.54</v>
      </c>
      <c r="D178" s="74" t="s">
        <v>2109</v>
      </c>
    </row>
    <row r="179" spans="1:4">
      <c r="A179" t="s">
        <v>2144</v>
      </c>
      <c r="B179" s="77" t="s">
        <v>2141</v>
      </c>
      <c r="C179" s="76">
        <v>2570.9</v>
      </c>
      <c r="D179" s="74" t="s">
        <v>2109</v>
      </c>
    </row>
    <row r="180" spans="1:4">
      <c r="A180" t="s">
        <v>2145</v>
      </c>
      <c r="B180" s="77" t="s">
        <v>2141</v>
      </c>
      <c r="C180" s="76">
        <v>2260.6799999999998</v>
      </c>
      <c r="D180" s="74" t="s">
        <v>2109</v>
      </c>
    </row>
    <row r="181" spans="1:4">
      <c r="A181" t="s">
        <v>2147</v>
      </c>
      <c r="B181" s="77" t="s">
        <v>2146</v>
      </c>
      <c r="C181" s="76">
        <v>4456.8</v>
      </c>
      <c r="D181" s="74" t="s">
        <v>2109</v>
      </c>
    </row>
    <row r="182" spans="1:4">
      <c r="A182" t="s">
        <v>2148</v>
      </c>
      <c r="B182" s="77" t="s">
        <v>2141</v>
      </c>
      <c r="C182" s="76">
        <v>3942.8</v>
      </c>
      <c r="D182" s="74" t="s">
        <v>2109</v>
      </c>
    </row>
    <row r="183" spans="1:4">
      <c r="A183" t="s">
        <v>2149</v>
      </c>
      <c r="B183" s="77" t="s">
        <v>2141</v>
      </c>
      <c r="C183" s="76">
        <v>1923.4</v>
      </c>
      <c r="D183" s="74" t="s">
        <v>2109</v>
      </c>
    </row>
    <row r="184" spans="1:4">
      <c r="A184" t="s">
        <v>2150</v>
      </c>
      <c r="B184" s="77" t="s">
        <v>2141</v>
      </c>
      <c r="C184" s="76">
        <v>2546.6999999999998</v>
      </c>
      <c r="D184" s="74" t="s">
        <v>2109</v>
      </c>
    </row>
    <row r="185" spans="1:4">
      <c r="A185" t="s">
        <v>2151</v>
      </c>
      <c r="B185" s="77" t="s">
        <v>2141</v>
      </c>
      <c r="C185" s="76">
        <v>1624.3</v>
      </c>
      <c r="D185" s="74" t="s">
        <v>2109</v>
      </c>
    </row>
    <row r="186" spans="1:4">
      <c r="A186" t="s">
        <v>2152</v>
      </c>
      <c r="B186" s="77" t="s">
        <v>2141</v>
      </c>
      <c r="C186" s="76">
        <v>1487.1</v>
      </c>
      <c r="D186" s="74" t="s">
        <v>2109</v>
      </c>
    </row>
    <row r="187" spans="1:4">
      <c r="A187" t="s">
        <v>2153</v>
      </c>
      <c r="B187" s="77" t="s">
        <v>2141</v>
      </c>
      <c r="C187" s="76">
        <v>1424.8</v>
      </c>
      <c r="D187" s="74" t="s">
        <v>2109</v>
      </c>
    </row>
    <row r="188" spans="1:4">
      <c r="A188" t="s">
        <v>2154</v>
      </c>
      <c r="B188" s="77" t="s">
        <v>2141</v>
      </c>
      <c r="C188" s="76">
        <v>1674.1</v>
      </c>
      <c r="D188" s="74" t="s">
        <v>2109</v>
      </c>
    </row>
    <row r="189" spans="1:4">
      <c r="A189" t="s">
        <v>2155</v>
      </c>
      <c r="B189" s="77" t="s">
        <v>2141</v>
      </c>
      <c r="C189" s="76">
        <v>3257.1</v>
      </c>
      <c r="D189" s="74" t="s">
        <v>2109</v>
      </c>
    </row>
    <row r="190" spans="1:4">
      <c r="A190" t="s">
        <v>2156</v>
      </c>
      <c r="B190" s="77" t="s">
        <v>2141</v>
      </c>
      <c r="C190" s="76">
        <v>1923.5</v>
      </c>
      <c r="D190" s="74" t="s">
        <v>2109</v>
      </c>
    </row>
    <row r="191" spans="1:4">
      <c r="A191" t="s">
        <v>2157</v>
      </c>
      <c r="B191" s="77" t="s">
        <v>2141</v>
      </c>
      <c r="C191" s="76">
        <v>2048.1999999999998</v>
      </c>
      <c r="D191" s="74" t="s">
        <v>2109</v>
      </c>
    </row>
    <row r="192" spans="1:4">
      <c r="A192" t="s">
        <v>2158</v>
      </c>
      <c r="B192" s="77" t="s">
        <v>2141</v>
      </c>
      <c r="C192" s="76">
        <v>1555.21</v>
      </c>
      <c r="D192" s="74" t="s">
        <v>2109</v>
      </c>
    </row>
    <row r="193" spans="1:4">
      <c r="A193" t="s">
        <v>2159</v>
      </c>
      <c r="B193" s="77" t="s">
        <v>2141</v>
      </c>
      <c r="C193" s="76">
        <v>1658.6</v>
      </c>
      <c r="D193" s="74" t="s">
        <v>2109</v>
      </c>
    </row>
    <row r="194" spans="1:4">
      <c r="A194" t="s">
        <v>2616</v>
      </c>
      <c r="B194" s="77" t="s">
        <v>2146</v>
      </c>
      <c r="C194" s="76">
        <v>8550</v>
      </c>
      <c r="D194" s="74" t="s">
        <v>2109</v>
      </c>
    </row>
    <row r="195" spans="1:4">
      <c r="A195" t="s">
        <v>2160</v>
      </c>
      <c r="B195" s="77" t="s">
        <v>2141</v>
      </c>
      <c r="C195" s="76">
        <v>975.23</v>
      </c>
      <c r="D195" s="74" t="s">
        <v>2109</v>
      </c>
    </row>
    <row r="196" spans="1:4">
      <c r="A196" t="s">
        <v>2161</v>
      </c>
      <c r="B196" s="77" t="s">
        <v>2141</v>
      </c>
      <c r="C196" s="76">
        <v>2127.4</v>
      </c>
      <c r="D196" s="74" t="s">
        <v>2109</v>
      </c>
    </row>
    <row r="197" spans="1:4">
      <c r="A197" t="s">
        <v>2162</v>
      </c>
      <c r="B197" s="77" t="s">
        <v>2141</v>
      </c>
      <c r="C197" s="76">
        <v>2742.4</v>
      </c>
      <c r="D197" s="74" t="s">
        <v>2109</v>
      </c>
    </row>
    <row r="198" spans="1:4">
      <c r="A198" t="s">
        <v>2163</v>
      </c>
      <c r="B198" s="77" t="s">
        <v>2141</v>
      </c>
      <c r="C198" s="76">
        <v>1642.6999999999998</v>
      </c>
      <c r="D198" s="74" t="s">
        <v>2109</v>
      </c>
    </row>
    <row r="199" spans="1:4">
      <c r="A199" t="s">
        <v>2164</v>
      </c>
      <c r="B199" s="77" t="s">
        <v>2141</v>
      </c>
      <c r="C199" s="76">
        <v>2688</v>
      </c>
      <c r="D199" s="74" t="s">
        <v>2109</v>
      </c>
    </row>
    <row r="200" spans="1:4">
      <c r="A200" t="s">
        <v>2165</v>
      </c>
      <c r="B200" s="77" t="s">
        <v>2141</v>
      </c>
      <c r="C200" s="76">
        <v>2161.5</v>
      </c>
      <c r="D200" s="74" t="s">
        <v>2109</v>
      </c>
    </row>
    <row r="201" spans="1:4">
      <c r="A201" t="s">
        <v>2166</v>
      </c>
      <c r="B201" s="77" t="s">
        <v>2141</v>
      </c>
      <c r="C201" s="76">
        <v>1381.6</v>
      </c>
      <c r="D201" s="74" t="s">
        <v>2109</v>
      </c>
    </row>
    <row r="202" spans="1:4">
      <c r="A202" t="s">
        <v>2167</v>
      </c>
      <c r="B202" s="77" t="s">
        <v>2141</v>
      </c>
      <c r="C202" s="76">
        <v>2384.6</v>
      </c>
      <c r="D202" s="74" t="s">
        <v>2109</v>
      </c>
    </row>
    <row r="203" spans="1:4">
      <c r="A203" t="s">
        <v>2168</v>
      </c>
      <c r="B203" s="77" t="s">
        <v>2141</v>
      </c>
      <c r="C203" s="76">
        <v>2889.5</v>
      </c>
      <c r="D203" s="74" t="s">
        <v>2109</v>
      </c>
    </row>
    <row r="204" spans="1:4">
      <c r="A204" t="s">
        <v>2169</v>
      </c>
      <c r="B204" s="77" t="s">
        <v>2141</v>
      </c>
      <c r="C204" s="76">
        <v>2847.2999999999997</v>
      </c>
      <c r="D204" s="74" t="s">
        <v>2109</v>
      </c>
    </row>
    <row r="205" spans="1:4">
      <c r="A205" t="s">
        <v>2170</v>
      </c>
      <c r="B205" s="77" t="s">
        <v>2141</v>
      </c>
      <c r="C205" s="76">
        <v>2289.6</v>
      </c>
      <c r="D205" s="74" t="s">
        <v>2109</v>
      </c>
    </row>
    <row r="206" spans="1:4">
      <c r="A206" t="s">
        <v>2171</v>
      </c>
      <c r="B206" s="77" t="s">
        <v>2141</v>
      </c>
      <c r="C206" s="76">
        <v>2794.5</v>
      </c>
      <c r="D206" s="74" t="s">
        <v>2109</v>
      </c>
    </row>
    <row r="207" spans="1:4">
      <c r="A207" t="s">
        <v>2172</v>
      </c>
      <c r="B207" s="77" t="s">
        <v>2141</v>
      </c>
      <c r="C207" s="76">
        <v>2473.2999999999997</v>
      </c>
      <c r="D207" s="74" t="s">
        <v>2109</v>
      </c>
    </row>
    <row r="208" spans="1:4">
      <c r="A208" t="s">
        <v>2173</v>
      </c>
      <c r="B208" s="77" t="s">
        <v>2141</v>
      </c>
      <c r="C208" s="76">
        <v>2349.6</v>
      </c>
      <c r="D208" s="74" t="s">
        <v>2109</v>
      </c>
    </row>
    <row r="209" spans="1:4">
      <c r="A209" t="s">
        <v>2174</v>
      </c>
      <c r="B209" s="77" t="s">
        <v>2141</v>
      </c>
      <c r="C209" s="76">
        <v>2273.7999999999997</v>
      </c>
      <c r="D209" s="74" t="s">
        <v>2109</v>
      </c>
    </row>
    <row r="210" spans="1:4">
      <c r="A210" t="s">
        <v>2175</v>
      </c>
      <c r="B210" s="77" t="s">
        <v>2141</v>
      </c>
      <c r="C210" s="76">
        <v>2212</v>
      </c>
      <c r="D210" s="74" t="s">
        <v>2109</v>
      </c>
    </row>
    <row r="211" spans="1:4">
      <c r="A211" t="s">
        <v>2176</v>
      </c>
      <c r="B211" s="77" t="s">
        <v>2141</v>
      </c>
      <c r="C211" s="76">
        <v>1430.8</v>
      </c>
      <c r="D211" s="74" t="s">
        <v>2109</v>
      </c>
    </row>
    <row r="212" spans="1:4">
      <c r="A212" t="s">
        <v>2177</v>
      </c>
      <c r="B212" s="77" t="s">
        <v>2141</v>
      </c>
      <c r="C212" s="76">
        <v>1370.8</v>
      </c>
      <c r="D212" s="74" t="s">
        <v>2109</v>
      </c>
    </row>
    <row r="213" spans="1:4">
      <c r="A213" t="s">
        <v>2178</v>
      </c>
      <c r="B213" s="77" t="s">
        <v>2141</v>
      </c>
      <c r="C213" s="76">
        <v>2024.1</v>
      </c>
      <c r="D213" s="74" t="s">
        <v>2109</v>
      </c>
    </row>
    <row r="214" spans="1:4">
      <c r="A214" t="s">
        <v>2179</v>
      </c>
      <c r="B214" s="77" t="s">
        <v>2141</v>
      </c>
      <c r="C214" s="76">
        <v>3416.9</v>
      </c>
      <c r="D214" s="74" t="s">
        <v>2109</v>
      </c>
    </row>
    <row r="215" spans="1:4">
      <c r="A215" t="s">
        <v>2180</v>
      </c>
      <c r="B215" s="77" t="s">
        <v>2141</v>
      </c>
      <c r="C215" s="76">
        <v>15.3</v>
      </c>
      <c r="D215" s="74" t="s">
        <v>2109</v>
      </c>
    </row>
    <row r="216" spans="1:4">
      <c r="A216" t="s">
        <v>2181</v>
      </c>
      <c r="B216" s="77" t="s">
        <v>2141</v>
      </c>
      <c r="C216" s="76">
        <v>105.6</v>
      </c>
      <c r="D216" s="74" t="s">
        <v>2109</v>
      </c>
    </row>
    <row r="217" spans="1:4">
      <c r="A217" t="s">
        <v>2182</v>
      </c>
      <c r="B217" s="77" t="s">
        <v>2141</v>
      </c>
      <c r="C217" s="76">
        <v>42.2</v>
      </c>
      <c r="D217" s="74" t="s">
        <v>2109</v>
      </c>
    </row>
    <row r="218" spans="1:4">
      <c r="A218" t="s">
        <v>2183</v>
      </c>
      <c r="B218" s="77" t="s">
        <v>2141</v>
      </c>
      <c r="C218" s="76">
        <v>3075.6</v>
      </c>
      <c r="D218" s="74" t="s">
        <v>2109</v>
      </c>
    </row>
    <row r="219" spans="1:4">
      <c r="A219" t="s">
        <v>2184</v>
      </c>
      <c r="B219" s="77" t="s">
        <v>2141</v>
      </c>
      <c r="C219" s="76">
        <v>28.4</v>
      </c>
      <c r="D219" s="74" t="s">
        <v>2109</v>
      </c>
    </row>
    <row r="220" spans="1:4">
      <c r="A220" t="s">
        <v>2185</v>
      </c>
      <c r="B220" s="77" t="s">
        <v>2141</v>
      </c>
      <c r="C220" s="76">
        <v>1638.8</v>
      </c>
      <c r="D220" s="74" t="s">
        <v>2109</v>
      </c>
    </row>
    <row r="221" spans="1:4">
      <c r="A221" t="s">
        <v>2186</v>
      </c>
      <c r="B221" s="77" t="s">
        <v>2141</v>
      </c>
      <c r="C221" s="76">
        <v>2058.7999999999997</v>
      </c>
      <c r="D221" s="74" t="s">
        <v>2109</v>
      </c>
    </row>
    <row r="222" spans="1:4">
      <c r="A222" t="s">
        <v>2187</v>
      </c>
      <c r="B222" s="77" t="s">
        <v>2141</v>
      </c>
      <c r="C222" s="76">
        <v>1828.5</v>
      </c>
      <c r="D222" s="74" t="s">
        <v>2109</v>
      </c>
    </row>
    <row r="223" spans="1:4">
      <c r="A223" t="s">
        <v>2188</v>
      </c>
      <c r="B223" s="77" t="s">
        <v>2141</v>
      </c>
      <c r="C223" s="76">
        <v>89</v>
      </c>
      <c r="D223" s="74" t="s">
        <v>2109</v>
      </c>
    </row>
    <row r="224" spans="1:4">
      <c r="A224" t="s">
        <v>2189</v>
      </c>
      <c r="B224" s="77" t="s">
        <v>2141</v>
      </c>
      <c r="C224" s="76">
        <v>118</v>
      </c>
      <c r="D224" s="74" t="s">
        <v>2109</v>
      </c>
    </row>
    <row r="225" spans="1:4">
      <c r="A225" t="s">
        <v>2190</v>
      </c>
      <c r="B225" s="77" t="s">
        <v>2141</v>
      </c>
      <c r="C225" s="76">
        <v>7563.76</v>
      </c>
      <c r="D225" s="74" t="s">
        <v>2109</v>
      </c>
    </row>
    <row r="226" spans="1:4">
      <c r="A226" t="s">
        <v>2191</v>
      </c>
      <c r="B226" s="77" t="s">
        <v>2141</v>
      </c>
      <c r="C226" s="76">
        <v>13300</v>
      </c>
      <c r="D226" s="74" t="s">
        <v>2109</v>
      </c>
    </row>
    <row r="227" spans="1:4">
      <c r="A227" t="s">
        <v>2192</v>
      </c>
      <c r="B227" s="77" t="s">
        <v>2141</v>
      </c>
      <c r="C227" s="76">
        <v>3985</v>
      </c>
      <c r="D227" s="74" t="s">
        <v>2109</v>
      </c>
    </row>
    <row r="228" spans="1:4">
      <c r="A228" t="s">
        <v>2193</v>
      </c>
      <c r="B228" s="77" t="s">
        <v>2141</v>
      </c>
      <c r="C228" s="76">
        <v>3985</v>
      </c>
      <c r="D228" s="74" t="s">
        <v>2109</v>
      </c>
    </row>
    <row r="229" spans="1:4">
      <c r="A229" t="s">
        <v>2194</v>
      </c>
      <c r="B229" s="77" t="s">
        <v>2146</v>
      </c>
      <c r="C229" s="76">
        <v>4945</v>
      </c>
      <c r="D229" s="74" t="s">
        <v>2109</v>
      </c>
    </row>
    <row r="230" spans="1:4">
      <c r="A230" t="s">
        <v>2195</v>
      </c>
      <c r="B230" s="77" t="s">
        <v>2146</v>
      </c>
      <c r="C230" s="76">
        <v>4945</v>
      </c>
      <c r="D230" s="74" t="s">
        <v>2109</v>
      </c>
    </row>
    <row r="231" spans="1:4">
      <c r="A231" t="s">
        <v>2196</v>
      </c>
      <c r="B231" s="77" t="s">
        <v>2141</v>
      </c>
      <c r="C231" s="76">
        <v>196.1</v>
      </c>
      <c r="D231" s="74" t="s">
        <v>2109</v>
      </c>
    </row>
    <row r="232" spans="1:4">
      <c r="A232" t="s">
        <v>2197</v>
      </c>
      <c r="B232" s="77"/>
      <c r="C232" s="76">
        <v>638</v>
      </c>
      <c r="D232" s="74" t="s">
        <v>2062</v>
      </c>
    </row>
    <row r="233" spans="1:4">
      <c r="A233" t="s">
        <v>2198</v>
      </c>
      <c r="B233" s="77" t="s">
        <v>2199</v>
      </c>
      <c r="C233" s="76">
        <v>17400</v>
      </c>
      <c r="D233" s="74" t="s">
        <v>2109</v>
      </c>
    </row>
    <row r="234" spans="1:4">
      <c r="A234" t="s">
        <v>2200</v>
      </c>
      <c r="B234" s="77" t="s">
        <v>2201</v>
      </c>
      <c r="C234" s="76">
        <v>23500</v>
      </c>
      <c r="D234" s="74" t="s">
        <v>2109</v>
      </c>
    </row>
    <row r="236" spans="1:4">
      <c r="A236" s="1" t="s">
        <v>1035</v>
      </c>
    </row>
    <row r="237" spans="1:4">
      <c r="A237" s="65"/>
      <c r="B237" s="65" t="s">
        <v>2027</v>
      </c>
      <c r="C237" s="65" t="s">
        <v>19</v>
      </c>
      <c r="D237" s="65" t="s">
        <v>1987</v>
      </c>
    </row>
    <row r="238" spans="1:4">
      <c r="A238" t="s">
        <v>2202</v>
      </c>
      <c r="B238" s="76">
        <v>0.14899999999999999</v>
      </c>
      <c r="C238" s="77" t="s">
        <v>2203</v>
      </c>
      <c r="D238" s="74" t="s">
        <v>2052</v>
      </c>
    </row>
    <row r="239" spans="1:4">
      <c r="A239" t="s">
        <v>2204</v>
      </c>
      <c r="B239" s="76">
        <v>0.27200000000000002</v>
      </c>
      <c r="C239" s="77" t="s">
        <v>2203</v>
      </c>
      <c r="D239" s="74" t="s">
        <v>2052</v>
      </c>
    </row>
    <row r="241" spans="1:4">
      <c r="A241" s="1" t="s">
        <v>452</v>
      </c>
    </row>
    <row r="242" spans="1:4">
      <c r="A242" s="65" t="s">
        <v>172</v>
      </c>
      <c r="B242" s="65" t="s">
        <v>2205</v>
      </c>
      <c r="C242" s="65" t="s">
        <v>19</v>
      </c>
      <c r="D242" s="65" t="s">
        <v>1987</v>
      </c>
    </row>
    <row r="243" spans="1:4">
      <c r="A243" t="s">
        <v>383</v>
      </c>
      <c r="B243" s="76">
        <v>28.742058534574149</v>
      </c>
      <c r="C243" s="77" t="s">
        <v>2206</v>
      </c>
      <c r="D243" s="74" t="s">
        <v>2207</v>
      </c>
    </row>
    <row r="244" spans="1:4">
      <c r="A244" t="s">
        <v>175</v>
      </c>
      <c r="B244" s="76">
        <v>28.742058534574149</v>
      </c>
      <c r="C244" s="77" t="s">
        <v>2206</v>
      </c>
      <c r="D244" s="74" t="s">
        <v>2207</v>
      </c>
    </row>
    <row r="245" spans="1:4">
      <c r="A245" t="s">
        <v>382</v>
      </c>
      <c r="B245" s="76">
        <v>28.742058534574149</v>
      </c>
      <c r="C245" s="77" t="s">
        <v>2206</v>
      </c>
      <c r="D245" s="74" t="s">
        <v>2207</v>
      </c>
    </row>
    <row r="246" spans="1:4">
      <c r="A246" t="s">
        <v>285</v>
      </c>
      <c r="B246" s="76">
        <v>28.742058534574149</v>
      </c>
      <c r="C246" s="77" t="s">
        <v>2206</v>
      </c>
      <c r="D246" s="74" t="s">
        <v>2207</v>
      </c>
    </row>
    <row r="247" spans="1:4">
      <c r="A247" t="s">
        <v>174</v>
      </c>
      <c r="B247" s="76">
        <v>620</v>
      </c>
      <c r="C247" s="77" t="s">
        <v>2206</v>
      </c>
      <c r="D247" s="74" t="s">
        <v>2208</v>
      </c>
    </row>
    <row r="248" spans="1:4">
      <c r="A248" t="s">
        <v>267</v>
      </c>
      <c r="B248" s="76">
        <v>620</v>
      </c>
      <c r="C248" s="77" t="s">
        <v>2206</v>
      </c>
      <c r="D248" s="74" t="s">
        <v>2209</v>
      </c>
    </row>
    <row r="249" spans="1:4">
      <c r="A249" t="s">
        <v>268</v>
      </c>
      <c r="B249" s="76">
        <v>547.7420585345742</v>
      </c>
      <c r="C249" s="77" t="s">
        <v>2206</v>
      </c>
      <c r="D249" s="74" t="s">
        <v>2210</v>
      </c>
    </row>
    <row r="250" spans="1:4">
      <c r="A250" t="s">
        <v>331</v>
      </c>
      <c r="B250" s="76">
        <v>2.7019605751987421</v>
      </c>
      <c r="C250" s="77" t="s">
        <v>2211</v>
      </c>
      <c r="D250" s="74" t="s">
        <v>2212</v>
      </c>
    </row>
    <row r="251" spans="1:4">
      <c r="B251" s="1173"/>
      <c r="C251" s="1174"/>
      <c r="D251" s="1175"/>
    </row>
    <row r="252" spans="1:4">
      <c r="A252" s="1" t="s">
        <v>481</v>
      </c>
    </row>
    <row r="253" spans="1:4">
      <c r="A253" s="65" t="s">
        <v>2213</v>
      </c>
      <c r="B253" s="65" t="s">
        <v>724</v>
      </c>
      <c r="C253" s="65" t="s">
        <v>19</v>
      </c>
      <c r="D253" s="65" t="s">
        <v>1987</v>
      </c>
    </row>
    <row r="254" spans="1:4">
      <c r="A254" t="s">
        <v>2214</v>
      </c>
      <c r="B254" s="76">
        <v>0.1717077043457802</v>
      </c>
      <c r="C254" s="77" t="s">
        <v>2215</v>
      </c>
      <c r="D254" s="74" t="s">
        <v>2216</v>
      </c>
    </row>
    <row r="255" spans="1:4">
      <c r="A255" t="s">
        <v>2217</v>
      </c>
      <c r="B255" s="76">
        <v>1.067639433553938E-2</v>
      </c>
      <c r="C255" s="77" t="s">
        <v>2215</v>
      </c>
      <c r="D255" s="74" t="s">
        <v>2216</v>
      </c>
    </row>
    <row r="256" spans="1:4">
      <c r="A256" t="s">
        <v>2218</v>
      </c>
      <c r="B256" s="76">
        <v>1.8895186591189506E-4</v>
      </c>
      <c r="C256" s="77" t="s">
        <v>2215</v>
      </c>
      <c r="D256" s="74" t="s">
        <v>2216</v>
      </c>
    </row>
    <row r="257" spans="1:5">
      <c r="A257" t="s">
        <v>2219</v>
      </c>
      <c r="B257" s="76">
        <v>0.18784595236726209</v>
      </c>
      <c r="C257" s="77" t="s">
        <v>2215</v>
      </c>
      <c r="D257" s="74" t="s">
        <v>2216</v>
      </c>
    </row>
    <row r="258" spans="1:5">
      <c r="A258" t="s">
        <v>2220</v>
      </c>
      <c r="B258" s="76">
        <v>0.18679357584849779</v>
      </c>
      <c r="C258" s="77" t="s">
        <v>2215</v>
      </c>
      <c r="D258" s="74" t="s">
        <v>2216</v>
      </c>
    </row>
    <row r="259" spans="1:5">
      <c r="A259" t="s">
        <v>2221</v>
      </c>
      <c r="B259" s="76">
        <v>0</v>
      </c>
      <c r="C259" s="77" t="s">
        <v>2215</v>
      </c>
      <c r="D259" s="74" t="s">
        <v>2023</v>
      </c>
    </row>
    <row r="260" spans="1:5">
      <c r="A260" t="s">
        <v>2222</v>
      </c>
      <c r="B260" s="76">
        <v>0.1274916666666667</v>
      </c>
      <c r="C260" s="77" t="s">
        <v>2215</v>
      </c>
      <c r="D260" s="74" t="s">
        <v>2223</v>
      </c>
    </row>
    <row r="261" spans="1:5">
      <c r="A261" t="s">
        <v>2224</v>
      </c>
      <c r="B261" s="76">
        <v>6.5172705629636708E-3</v>
      </c>
      <c r="C261" s="77" t="s">
        <v>2215</v>
      </c>
      <c r="D261" s="74" t="s">
        <v>2225</v>
      </c>
      <c r="E261" t="s">
        <v>2617</v>
      </c>
    </row>
    <row r="262" spans="1:5">
      <c r="A262" t="s">
        <v>2226</v>
      </c>
      <c r="B262" s="76">
        <v>1.1534328864431537E-4</v>
      </c>
      <c r="C262" s="77" t="s">
        <v>2215</v>
      </c>
      <c r="D262" s="74" t="s">
        <v>2225</v>
      </c>
    </row>
    <row r="263" spans="1:5">
      <c r="A263" t="s">
        <v>2227</v>
      </c>
      <c r="B263" s="76">
        <v>0.11466819763857883</v>
      </c>
      <c r="C263" s="77" t="s">
        <v>2215</v>
      </c>
      <c r="D263" s="74" t="s">
        <v>2225</v>
      </c>
    </row>
    <row r="264" spans="1:5">
      <c r="A264" t="s">
        <v>2228</v>
      </c>
      <c r="B264" s="76">
        <v>4.3384541741017697E-3</v>
      </c>
      <c r="C264" s="77" t="s">
        <v>2215</v>
      </c>
      <c r="D264" s="74" t="s">
        <v>2229</v>
      </c>
    </row>
    <row r="265" spans="1:5">
      <c r="A265" t="s">
        <v>2230</v>
      </c>
      <c r="B265" s="76">
        <v>1.4588652991374283E-3</v>
      </c>
      <c r="C265" s="77" t="s">
        <v>2215</v>
      </c>
      <c r="D265" s="74" t="s">
        <v>2229</v>
      </c>
    </row>
    <row r="266" spans="1:5">
      <c r="A266" t="s">
        <v>2231</v>
      </c>
      <c r="B266" s="76">
        <v>7.6332985699398864E-2</v>
      </c>
      <c r="C266" s="77" t="s">
        <v>2215</v>
      </c>
      <c r="D266" s="74" t="s">
        <v>2229</v>
      </c>
    </row>
    <row r="267" spans="1:5">
      <c r="A267" t="s">
        <v>2232</v>
      </c>
      <c r="B267" s="76">
        <v>7.0541900933598503E-3</v>
      </c>
      <c r="C267" s="77" t="s">
        <v>2215</v>
      </c>
      <c r="D267" s="74" t="s">
        <v>2233</v>
      </c>
    </row>
    <row r="268" spans="1:5">
      <c r="A268" t="s">
        <v>2234</v>
      </c>
      <c r="B268" s="76">
        <v>5.855400477337647E-4</v>
      </c>
      <c r="C268" s="77" t="s">
        <v>2215</v>
      </c>
      <c r="D268" s="74" t="s">
        <v>2235</v>
      </c>
    </row>
    <row r="269" spans="1:5">
      <c r="A269" t="s">
        <v>2236</v>
      </c>
      <c r="B269" s="76">
        <v>0.12411503496605732</v>
      </c>
      <c r="C269" s="77" t="s">
        <v>2215</v>
      </c>
      <c r="D269" s="74" t="s">
        <v>2237</v>
      </c>
    </row>
    <row r="270" spans="1:5">
      <c r="A270" t="s">
        <v>2238</v>
      </c>
      <c r="B270" s="76">
        <v>1.030684554301411E-2</v>
      </c>
      <c r="C270" s="77" t="s">
        <v>2215</v>
      </c>
      <c r="D270" s="74" t="s">
        <v>2239</v>
      </c>
    </row>
    <row r="271" spans="1:5">
      <c r="A271" t="s">
        <v>2240</v>
      </c>
      <c r="B271" s="76">
        <v>1.8241155541955033E-4</v>
      </c>
      <c r="C271" s="77" t="s">
        <v>2215</v>
      </c>
      <c r="D271" s="74" t="s">
        <v>2239</v>
      </c>
    </row>
    <row r="272" spans="1:5">
      <c r="A272" t="s">
        <v>2241</v>
      </c>
      <c r="B272" s="76">
        <v>0.18134392156019427</v>
      </c>
      <c r="C272" s="77" t="s">
        <v>2215</v>
      </c>
      <c r="D272" s="74" t="s">
        <v>2239</v>
      </c>
    </row>
    <row r="273" spans="1:4">
      <c r="A273" t="s">
        <v>2242</v>
      </c>
      <c r="B273" s="76">
        <v>2.7646778090294113E-3</v>
      </c>
      <c r="C273" s="77" t="s">
        <v>2215</v>
      </c>
      <c r="D273" s="74" t="s">
        <v>2243</v>
      </c>
    </row>
    <row r="274" spans="1:4">
      <c r="A274" t="s">
        <v>2244</v>
      </c>
      <c r="B274" s="76">
        <v>4.8929536905768988E-5</v>
      </c>
      <c r="C274" s="77" t="s">
        <v>2215</v>
      </c>
      <c r="D274" s="74" t="s">
        <v>2243</v>
      </c>
    </row>
    <row r="275" spans="1:4">
      <c r="A275" t="s">
        <v>2245</v>
      </c>
      <c r="B275" s="76">
        <v>4.8643157952401365E-2</v>
      </c>
      <c r="C275" s="77" t="s">
        <v>2215</v>
      </c>
      <c r="D275" s="74" t="s">
        <v>2243</v>
      </c>
    </row>
    <row r="276" spans="1:4">
      <c r="A276" t="s">
        <v>2246</v>
      </c>
      <c r="B276" s="76">
        <v>2.2493106912793506E-3</v>
      </c>
      <c r="C276" s="77" t="s">
        <v>2215</v>
      </c>
      <c r="D276" s="74" t="s">
        <v>2247</v>
      </c>
    </row>
    <row r="277" spans="1:4">
      <c r="A277" t="s">
        <v>2248</v>
      </c>
      <c r="B277" s="76">
        <v>3.9808519503446747E-5</v>
      </c>
      <c r="C277" s="77" t="s">
        <v>2215</v>
      </c>
      <c r="D277" s="74" t="s">
        <v>2247</v>
      </c>
    </row>
    <row r="278" spans="1:4">
      <c r="A278" t="s">
        <v>2249</v>
      </c>
      <c r="B278" s="76">
        <v>3.9575524816158635E-2</v>
      </c>
      <c r="C278" s="77" t="s">
        <v>2215</v>
      </c>
      <c r="D278" s="74" t="s">
        <v>2247</v>
      </c>
    </row>
    <row r="279" spans="1:4">
      <c r="A279" t="s">
        <v>2250</v>
      </c>
      <c r="B279" s="76">
        <v>2.506994250154381E-3</v>
      </c>
      <c r="C279" s="77" t="s">
        <v>2215</v>
      </c>
      <c r="D279" s="74" t="s">
        <v>2251</v>
      </c>
    </row>
    <row r="280" spans="1:4">
      <c r="A280" t="s">
        <v>2252</v>
      </c>
      <c r="B280" s="76">
        <v>4.4369028204607867E-5</v>
      </c>
      <c r="C280" s="77" t="s">
        <v>2215</v>
      </c>
      <c r="D280" s="74" t="s">
        <v>2253</v>
      </c>
    </row>
    <row r="281" spans="1:4">
      <c r="A281" t="s">
        <v>2254</v>
      </c>
      <c r="B281" s="76">
        <v>4.410934138428E-2</v>
      </c>
      <c r="C281" s="77" t="s">
        <v>2215</v>
      </c>
      <c r="D281" s="74" t="s">
        <v>2255</v>
      </c>
    </row>
    <row r="282" spans="1:4">
      <c r="A282" t="s">
        <v>2256</v>
      </c>
      <c r="B282" s="76">
        <v>4.7805921717571156E-3</v>
      </c>
      <c r="C282" s="77" t="s">
        <v>2215</v>
      </c>
      <c r="D282" s="74" t="s">
        <v>2257</v>
      </c>
    </row>
    <row r="283" spans="1:4">
      <c r="A283" t="s">
        <v>2258</v>
      </c>
      <c r="B283" s="76">
        <v>3.1495453796918628E-4</v>
      </c>
      <c r="C283" s="77" t="s">
        <v>2215</v>
      </c>
      <c r="D283" s="74" t="s">
        <v>2259</v>
      </c>
    </row>
    <row r="284" spans="1:4">
      <c r="A284" t="s">
        <v>2260</v>
      </c>
      <c r="B284" s="76">
        <v>8.4112188175168662E-2</v>
      </c>
      <c r="C284" s="77" t="s">
        <v>2215</v>
      </c>
      <c r="D284" s="74" t="s">
        <v>2261</v>
      </c>
    </row>
    <row r="285" spans="1:4">
      <c r="A285" t="s">
        <v>2262</v>
      </c>
      <c r="B285" s="76">
        <v>0.66327827387478799</v>
      </c>
      <c r="C285" s="77" t="s">
        <v>2263</v>
      </c>
      <c r="D285" s="74" t="s">
        <v>2264</v>
      </c>
    </row>
    <row r="286" spans="1:4">
      <c r="A286" t="s">
        <v>2265</v>
      </c>
      <c r="B286" s="76">
        <v>0.21510076811656678</v>
      </c>
      <c r="C286" s="77" t="s">
        <v>2263</v>
      </c>
      <c r="D286" s="74" t="s">
        <v>2266</v>
      </c>
    </row>
    <row r="287" spans="1:4">
      <c r="A287" t="s">
        <v>2267</v>
      </c>
      <c r="B287" s="76">
        <v>2.3084724141943781E-2</v>
      </c>
      <c r="C287" s="77" t="s">
        <v>2215</v>
      </c>
      <c r="D287" s="74" t="s">
        <v>2268</v>
      </c>
    </row>
    <row r="288" spans="1:4">
      <c r="A288" t="s">
        <v>2269</v>
      </c>
      <c r="B288" s="76">
        <v>2.7820000000000001E-2</v>
      </c>
      <c r="C288" s="77" t="s">
        <v>2215</v>
      </c>
      <c r="D288" s="74" t="s">
        <v>2270</v>
      </c>
    </row>
    <row r="289" spans="1:4">
      <c r="A289" t="s">
        <v>2271</v>
      </c>
      <c r="B289" s="76">
        <v>1.0188999999999999</v>
      </c>
      <c r="C289" s="77" t="s">
        <v>2215</v>
      </c>
      <c r="D289" s="74" t="s">
        <v>2215</v>
      </c>
    </row>
    <row r="290" spans="1:4">
      <c r="A290" t="s">
        <v>2272</v>
      </c>
      <c r="B290" s="76">
        <v>1.0322E-2</v>
      </c>
      <c r="C290" s="77" t="s">
        <v>2215</v>
      </c>
      <c r="D290" s="74" t="s">
        <v>2273</v>
      </c>
    </row>
    <row r="291" spans="1:4">
      <c r="A291" t="s">
        <v>2274</v>
      </c>
      <c r="B291" s="76">
        <v>1.6142E-2</v>
      </c>
      <c r="C291" s="77" t="s">
        <v>2215</v>
      </c>
      <c r="D291" s="74" t="s">
        <v>2275</v>
      </c>
    </row>
    <row r="292" spans="1:4">
      <c r="A292" t="s">
        <v>2276</v>
      </c>
      <c r="B292" s="76">
        <v>1.3080000000000001E-2</v>
      </c>
      <c r="C292" s="77" t="s">
        <v>2215</v>
      </c>
      <c r="D292" s="74" t="s">
        <v>2277</v>
      </c>
    </row>
    <row r="293" spans="1:4">
      <c r="A293" t="s">
        <v>2278</v>
      </c>
      <c r="B293" s="76">
        <v>1.1548000000000001E-2</v>
      </c>
      <c r="C293" s="77" t="s">
        <v>2215</v>
      </c>
      <c r="D293" s="74" t="s">
        <v>2279</v>
      </c>
    </row>
    <row r="294" spans="1:4">
      <c r="A294" t="s">
        <v>2280</v>
      </c>
      <c r="B294" s="76">
        <v>1.0382000000000001E-2</v>
      </c>
      <c r="C294" s="77" t="s">
        <v>2215</v>
      </c>
      <c r="D294" s="74" t="s">
        <v>2281</v>
      </c>
    </row>
    <row r="295" spans="1:4">
      <c r="A295" t="s">
        <v>2282</v>
      </c>
      <c r="B295" s="76">
        <v>4.5719999999999997E-3</v>
      </c>
      <c r="C295" s="77" t="s">
        <v>2215</v>
      </c>
      <c r="D295" s="74" t="s">
        <v>2283</v>
      </c>
    </row>
    <row r="296" spans="1:4">
      <c r="A296" t="s">
        <v>2284</v>
      </c>
      <c r="B296" s="76">
        <v>8.2000000000000003E-2</v>
      </c>
      <c r="C296" s="77" t="s">
        <v>2215</v>
      </c>
      <c r="D296" s="74" t="s">
        <v>2285</v>
      </c>
    </row>
    <row r="297" spans="1:4">
      <c r="A297" t="s">
        <v>2286</v>
      </c>
      <c r="B297" s="76">
        <v>3.539E-3</v>
      </c>
      <c r="C297" s="77" t="s">
        <v>2215</v>
      </c>
      <c r="D297" s="74" t="s">
        <v>2287</v>
      </c>
    </row>
    <row r="298" spans="1:4">
      <c r="A298" t="s">
        <v>2288</v>
      </c>
      <c r="B298" s="76">
        <v>5.0189000000000004E-2</v>
      </c>
      <c r="C298" s="77" t="s">
        <v>2215</v>
      </c>
      <c r="D298" s="74" t="s">
        <v>2270</v>
      </c>
    </row>
    <row r="299" spans="1:4">
      <c r="A299" t="s">
        <v>2289</v>
      </c>
      <c r="B299" s="76">
        <v>6.1138999999999999E-2</v>
      </c>
      <c r="C299" s="77" t="s">
        <v>2290</v>
      </c>
      <c r="D299" s="74" t="s">
        <v>2291</v>
      </c>
    </row>
    <row r="300" spans="1:4">
      <c r="A300" t="s">
        <v>2292</v>
      </c>
      <c r="B300" s="76">
        <v>9.0340000000000004E-3</v>
      </c>
      <c r="C300" s="77" t="s">
        <v>2215</v>
      </c>
      <c r="D300" s="74" t="s">
        <v>2293</v>
      </c>
    </row>
    <row r="301" spans="1:4">
      <c r="A301" t="s">
        <v>2294</v>
      </c>
      <c r="B301" s="76">
        <v>1.3232000000000001E-2</v>
      </c>
      <c r="C301" s="77" t="s">
        <v>2215</v>
      </c>
      <c r="D301" s="74" t="s">
        <v>2295</v>
      </c>
    </row>
    <row r="303" spans="1:4">
      <c r="A303" s="1" t="s">
        <v>384</v>
      </c>
    </row>
    <row r="304" spans="1:4">
      <c r="A304" s="65" t="s">
        <v>2296</v>
      </c>
      <c r="B304" s="65" t="s">
        <v>724</v>
      </c>
      <c r="C304" s="65" t="s">
        <v>19</v>
      </c>
      <c r="D304" s="65" t="s">
        <v>1987</v>
      </c>
    </row>
    <row r="305" spans="1:4">
      <c r="A305" t="s">
        <v>2297</v>
      </c>
      <c r="B305" s="71">
        <v>8.755345650442159E-2</v>
      </c>
      <c r="C305" s="67" t="s">
        <v>2263</v>
      </c>
      <c r="D305" s="74" t="s">
        <v>2587</v>
      </c>
    </row>
    <row r="306" spans="1:4">
      <c r="A306" t="s">
        <v>390</v>
      </c>
      <c r="B306" s="71">
        <v>0.13376526870687444</v>
      </c>
      <c r="C306" s="67" t="s">
        <v>2263</v>
      </c>
      <c r="D306" s="74" t="s">
        <v>2587</v>
      </c>
    </row>
    <row r="307" spans="1:4">
      <c r="A307" t="s">
        <v>2298</v>
      </c>
      <c r="B307" s="71">
        <v>0.11701598191968574</v>
      </c>
      <c r="C307" s="67" t="s">
        <v>2263</v>
      </c>
      <c r="D307" s="74" t="s">
        <v>2587</v>
      </c>
    </row>
    <row r="308" spans="1:4">
      <c r="A308" t="s">
        <v>2299</v>
      </c>
      <c r="B308" s="71">
        <v>5.6969079549449193E-2</v>
      </c>
      <c r="C308" s="67" t="s">
        <v>2263</v>
      </c>
      <c r="D308" s="74" t="s">
        <v>2587</v>
      </c>
    </row>
    <row r="309" spans="1:4">
      <c r="A309" t="s">
        <v>388</v>
      </c>
      <c r="B309" s="71">
        <v>5.8903586902355441E-4</v>
      </c>
      <c r="C309" s="67" t="s">
        <v>2263</v>
      </c>
      <c r="D309" s="67" t="s">
        <v>2300</v>
      </c>
    </row>
    <row r="310" spans="1:4">
      <c r="A310" t="s">
        <v>2301</v>
      </c>
      <c r="B310" s="71">
        <v>0.12844662243344382</v>
      </c>
      <c r="C310" s="67" t="s">
        <v>2263</v>
      </c>
      <c r="D310" s="74" t="s">
        <v>2587</v>
      </c>
    </row>
    <row r="311" spans="1:4">
      <c r="A311" t="s">
        <v>391</v>
      </c>
      <c r="B311" s="71">
        <v>0.14269576841728057</v>
      </c>
      <c r="C311" s="78" t="s">
        <v>2263</v>
      </c>
      <c r="D311" s="67" t="s">
        <v>2618</v>
      </c>
    </row>
    <row r="312" spans="1:4">
      <c r="A312" t="s">
        <v>2302</v>
      </c>
      <c r="B312" s="71">
        <v>0.17329376841728059</v>
      </c>
      <c r="C312" s="78" t="s">
        <v>2263</v>
      </c>
      <c r="D312" s="67" t="s">
        <v>2619</v>
      </c>
    </row>
    <row r="313" spans="1:4">
      <c r="A313" t="s">
        <v>2303</v>
      </c>
      <c r="B313" s="71">
        <v>0.1355439602350843</v>
      </c>
      <c r="C313" s="78" t="s">
        <v>2263</v>
      </c>
      <c r="D313" s="67" t="s">
        <v>2618</v>
      </c>
    </row>
    <row r="314" spans="1:4">
      <c r="A314" t="s">
        <v>2304</v>
      </c>
      <c r="B314" s="71">
        <v>0.16614196023508432</v>
      </c>
      <c r="C314" s="78" t="s">
        <v>2263</v>
      </c>
      <c r="D314" s="67" t="s">
        <v>2619</v>
      </c>
    </row>
    <row r="315" spans="1:4">
      <c r="A315" t="s">
        <v>2305</v>
      </c>
      <c r="B315" s="71">
        <v>0</v>
      </c>
      <c r="C315" s="67" t="s">
        <v>2263</v>
      </c>
      <c r="D315" s="74" t="s">
        <v>2023</v>
      </c>
    </row>
    <row r="316" spans="1:4">
      <c r="A316" t="s">
        <v>392</v>
      </c>
      <c r="B316" s="71">
        <v>0.12239200000000001</v>
      </c>
      <c r="C316" s="67" t="s">
        <v>2263</v>
      </c>
      <c r="D316" s="67" t="s">
        <v>2306</v>
      </c>
    </row>
    <row r="317" spans="1:4">
      <c r="A317" t="s">
        <v>2307</v>
      </c>
      <c r="B317" s="71">
        <v>0.15390294611693156</v>
      </c>
      <c r="C317" s="67" t="s">
        <v>2263</v>
      </c>
      <c r="D317" s="74" t="s">
        <v>2587</v>
      </c>
    </row>
    <row r="318" spans="1:4">
      <c r="A318" t="s">
        <v>2308</v>
      </c>
      <c r="B318" s="71">
        <v>0.18758871792042925</v>
      </c>
      <c r="C318" s="67" t="s">
        <v>2263</v>
      </c>
      <c r="D318" s="74" t="s">
        <v>2587</v>
      </c>
    </row>
    <row r="319" spans="1:4">
      <c r="A319" t="s">
        <v>2309</v>
      </c>
      <c r="B319" s="71">
        <v>9.0111988606593682E-3</v>
      </c>
      <c r="C319" s="67" t="s">
        <v>2263</v>
      </c>
      <c r="D319" s="74" t="s">
        <v>2620</v>
      </c>
    </row>
    <row r="320" spans="1:4">
      <c r="A320" t="s">
        <v>2310</v>
      </c>
      <c r="B320" s="71">
        <v>1.5948107435081072E-4</v>
      </c>
      <c r="C320" s="67" t="s">
        <v>2263</v>
      </c>
      <c r="D320" s="74" t="s">
        <v>2621</v>
      </c>
    </row>
    <row r="321" spans="1:4">
      <c r="A321" t="s">
        <v>2311</v>
      </c>
      <c r="B321" s="71">
        <v>0.15854764996049844</v>
      </c>
      <c r="C321" s="67" t="s">
        <v>2263</v>
      </c>
      <c r="D321" s="74" t="s">
        <v>2587</v>
      </c>
    </row>
    <row r="322" spans="1:4">
      <c r="A322" t="s">
        <v>389</v>
      </c>
      <c r="B322" s="71">
        <v>0.1399602485017529</v>
      </c>
      <c r="C322" s="67" t="s">
        <v>2263</v>
      </c>
      <c r="D322" s="74" t="s">
        <v>2587</v>
      </c>
    </row>
    <row r="323" spans="1:4">
      <c r="A323" t="s">
        <v>2312</v>
      </c>
      <c r="B323" s="71">
        <v>0.24337856304005165</v>
      </c>
      <c r="C323" s="67" t="s">
        <v>2263</v>
      </c>
      <c r="D323" s="74" t="s">
        <v>2587</v>
      </c>
    </row>
    <row r="324" spans="1:4">
      <c r="A324" t="s">
        <v>2313</v>
      </c>
      <c r="B324" s="71">
        <v>1.2090542694023832E-2</v>
      </c>
      <c r="C324" s="67" t="s">
        <v>2263</v>
      </c>
      <c r="D324" s="74" t="s">
        <v>2620</v>
      </c>
    </row>
    <row r="325" spans="1:4">
      <c r="A325" t="s">
        <v>2314</v>
      </c>
      <c r="B325" s="71">
        <v>2.13979601176638E-4</v>
      </c>
      <c r="C325" s="67" t="s">
        <v>2263</v>
      </c>
      <c r="D325" s="74" t="s">
        <v>2621</v>
      </c>
    </row>
    <row r="326" spans="1:4">
      <c r="A326" t="s">
        <v>2315</v>
      </c>
      <c r="B326" s="71">
        <v>0.21272720317530394</v>
      </c>
      <c r="C326" s="67" t="s">
        <v>2263</v>
      </c>
      <c r="D326" s="74" t="s">
        <v>2587</v>
      </c>
    </row>
    <row r="327" spans="1:4">
      <c r="A327" t="s">
        <v>2316</v>
      </c>
      <c r="B327" s="71">
        <v>0.21578830678797511</v>
      </c>
      <c r="C327" s="67" t="s">
        <v>2263</v>
      </c>
      <c r="D327" s="74" t="s">
        <v>2587</v>
      </c>
    </row>
    <row r="328" spans="1:4">
      <c r="A328" t="s">
        <v>2317</v>
      </c>
      <c r="B328" s="71">
        <v>0.1830370236245886</v>
      </c>
      <c r="C328" s="67" t="s">
        <v>2263</v>
      </c>
      <c r="D328" s="74" t="s">
        <v>2318</v>
      </c>
    </row>
    <row r="329" spans="1:4">
      <c r="A329" t="s">
        <v>2319</v>
      </c>
      <c r="B329" s="71">
        <v>0.18442316975601358</v>
      </c>
      <c r="C329" s="67" t="s">
        <v>2263</v>
      </c>
      <c r="D329" s="74" t="s">
        <v>2322</v>
      </c>
    </row>
    <row r="330" spans="1:4">
      <c r="A330" t="s">
        <v>2321</v>
      </c>
      <c r="B330" s="71">
        <v>0.19026102455637409</v>
      </c>
      <c r="C330" s="67" t="s">
        <v>2263</v>
      </c>
      <c r="D330" s="74" t="s">
        <v>2320</v>
      </c>
    </row>
    <row r="331" spans="1:4">
      <c r="A331" t="s">
        <v>2323</v>
      </c>
      <c r="B331" s="71">
        <v>1.0271684509096254E-2</v>
      </c>
      <c r="C331" s="67" t="s">
        <v>2263</v>
      </c>
      <c r="D331" s="74" t="s">
        <v>2324</v>
      </c>
    </row>
    <row r="332" spans="1:4">
      <c r="A332" t="s">
        <v>2325</v>
      </c>
      <c r="B332" s="71">
        <v>1.8178927201961499E-4</v>
      </c>
      <c r="C332" s="67" t="s">
        <v>2263</v>
      </c>
      <c r="D332" s="74" t="s">
        <v>2326</v>
      </c>
    </row>
    <row r="333" spans="1:4">
      <c r="A333" t="s">
        <v>2327</v>
      </c>
      <c r="B333" s="71">
        <v>0.18072528031344576</v>
      </c>
      <c r="C333" s="67" t="s">
        <v>2263</v>
      </c>
      <c r="D333" s="74" t="s">
        <v>2328</v>
      </c>
    </row>
    <row r="334" spans="1:4">
      <c r="A334" t="s">
        <v>2329</v>
      </c>
      <c r="B334" s="71">
        <v>0.15956034956462306</v>
      </c>
      <c r="C334" s="67" t="s">
        <v>2263</v>
      </c>
      <c r="D334" s="79" t="s">
        <v>2330</v>
      </c>
    </row>
    <row r="335" spans="1:4">
      <c r="A335" t="s">
        <v>2331</v>
      </c>
      <c r="B335" s="71">
        <v>0.1619878620326691</v>
      </c>
      <c r="C335" s="67" t="s">
        <v>2263</v>
      </c>
      <c r="D335" s="74" t="s">
        <v>2587</v>
      </c>
    </row>
    <row r="336" spans="1:4">
      <c r="A336" t="s">
        <v>2332</v>
      </c>
      <c r="B336" s="71">
        <v>9.0136810368372528E-3</v>
      </c>
      <c r="C336" s="67" t="s">
        <v>2263</v>
      </c>
      <c r="D336" s="74" t="s">
        <v>2620</v>
      </c>
    </row>
    <row r="337" spans="1:4">
      <c r="A337" t="s">
        <v>2333</v>
      </c>
      <c r="B337" s="71">
        <v>1.5952500414635716E-4</v>
      </c>
      <c r="C337" s="67" t="s">
        <v>2263</v>
      </c>
      <c r="D337" s="74" t="s">
        <v>2621</v>
      </c>
    </row>
    <row r="338" spans="1:4">
      <c r="A338" t="s">
        <v>2334</v>
      </c>
      <c r="B338" s="71">
        <v>0.15859132264000281</v>
      </c>
      <c r="C338" s="67" t="s">
        <v>2263</v>
      </c>
      <c r="D338" s="74" t="s">
        <v>2587</v>
      </c>
    </row>
    <row r="339" spans="1:4">
      <c r="A339" t="s">
        <v>2335</v>
      </c>
      <c r="B339" s="71">
        <v>0.11727728619007741</v>
      </c>
      <c r="C339" s="67" t="s">
        <v>2263</v>
      </c>
      <c r="D339" s="74" t="s">
        <v>2587</v>
      </c>
    </row>
    <row r="340" spans="1:4">
      <c r="A340" t="s">
        <v>2336</v>
      </c>
      <c r="B340" s="71">
        <v>0.18442316975601358</v>
      </c>
      <c r="C340" s="67" t="s">
        <v>2263</v>
      </c>
      <c r="D340" s="74" t="s">
        <v>2322</v>
      </c>
    </row>
    <row r="341" spans="1:4">
      <c r="A341" t="s">
        <v>395</v>
      </c>
      <c r="B341" s="71">
        <v>3.5698266645053725E-2</v>
      </c>
      <c r="C341" s="67" t="s">
        <v>2337</v>
      </c>
      <c r="D341" s="67" t="s">
        <v>2622</v>
      </c>
    </row>
    <row r="342" spans="1:4">
      <c r="A342" t="s">
        <v>2338</v>
      </c>
      <c r="B342" s="71">
        <v>0.10778</v>
      </c>
      <c r="C342" s="67" t="s">
        <v>2337</v>
      </c>
      <c r="D342" s="74" t="s">
        <v>2034</v>
      </c>
    </row>
    <row r="343" spans="1:4">
      <c r="A343" t="s">
        <v>2339</v>
      </c>
      <c r="B343" s="71">
        <v>4.0492233810872198E-2</v>
      </c>
      <c r="C343" s="67" t="s">
        <v>2337</v>
      </c>
      <c r="D343" s="67" t="s">
        <v>2623</v>
      </c>
    </row>
    <row r="344" spans="1:4">
      <c r="A344" t="s">
        <v>2340</v>
      </c>
      <c r="B344" s="71">
        <v>0.10439710947943634</v>
      </c>
      <c r="C344" s="67" t="s">
        <v>2337</v>
      </c>
      <c r="D344" s="67" t="s">
        <v>2622</v>
      </c>
    </row>
    <row r="345" spans="1:4">
      <c r="A345" t="s">
        <v>396</v>
      </c>
      <c r="B345" s="71">
        <v>0.15353</v>
      </c>
      <c r="C345" s="67" t="s">
        <v>2337</v>
      </c>
      <c r="D345" s="74" t="s">
        <v>2034</v>
      </c>
    </row>
    <row r="346" spans="1:4">
      <c r="A346" t="s">
        <v>2341</v>
      </c>
      <c r="B346" s="71">
        <v>0.15101999999999999</v>
      </c>
      <c r="C346" s="67" t="s">
        <v>2337</v>
      </c>
      <c r="D346" s="74" t="s">
        <v>2034</v>
      </c>
    </row>
    <row r="347" spans="1:4">
      <c r="A347" t="s">
        <v>2342</v>
      </c>
      <c r="B347" s="71">
        <v>0.22652</v>
      </c>
      <c r="C347" s="67" t="s">
        <v>2337</v>
      </c>
      <c r="D347" s="74" t="s">
        <v>2034</v>
      </c>
    </row>
    <row r="348" spans="1:4">
      <c r="A348" t="s">
        <v>2343</v>
      </c>
      <c r="B348" s="71">
        <v>0.59147000000000005</v>
      </c>
      <c r="C348" s="67" t="s">
        <v>2337</v>
      </c>
      <c r="D348" s="74" t="s">
        <v>2034</v>
      </c>
    </row>
    <row r="349" spans="1:4">
      <c r="A349" t="s">
        <v>2344</v>
      </c>
      <c r="B349" s="71">
        <v>0.19309000000000001</v>
      </c>
      <c r="C349" s="67" t="s">
        <v>2337</v>
      </c>
      <c r="D349" s="74" t="s">
        <v>2034</v>
      </c>
    </row>
    <row r="350" spans="1:4">
      <c r="A350" t="s">
        <v>2345</v>
      </c>
      <c r="B350" s="71">
        <v>0.14787</v>
      </c>
      <c r="C350" s="67" t="s">
        <v>2337</v>
      </c>
      <c r="D350" s="74" t="s">
        <v>2034</v>
      </c>
    </row>
    <row r="351" spans="1:4">
      <c r="A351" t="s">
        <v>2346</v>
      </c>
      <c r="B351" s="71">
        <v>0.42881999999999998</v>
      </c>
      <c r="C351" s="67" t="s">
        <v>2337</v>
      </c>
      <c r="D351" s="74" t="s">
        <v>2034</v>
      </c>
    </row>
    <row r="352" spans="1:4">
      <c r="A352" t="s">
        <v>2347</v>
      </c>
      <c r="B352" s="71">
        <v>0.24587000000000001</v>
      </c>
      <c r="C352" s="67" t="s">
        <v>2337</v>
      </c>
      <c r="D352" s="74" t="s">
        <v>2034</v>
      </c>
    </row>
    <row r="353" spans="1:4">
      <c r="A353" t="s">
        <v>2348</v>
      </c>
      <c r="B353" s="71">
        <v>1.874E-2</v>
      </c>
      <c r="C353" s="67" t="s">
        <v>2337</v>
      </c>
      <c r="D353" s="74" t="s">
        <v>2034</v>
      </c>
    </row>
    <row r="354" spans="1:4">
      <c r="A354" t="s">
        <v>2349</v>
      </c>
      <c r="B354" s="71">
        <v>4.4599999999999996E-3</v>
      </c>
      <c r="C354" s="67" t="s">
        <v>2337</v>
      </c>
      <c r="D354" s="74" t="s">
        <v>2034</v>
      </c>
    </row>
    <row r="355" spans="1:4">
      <c r="A355" t="s">
        <v>2350</v>
      </c>
      <c r="B355" s="71">
        <v>0</v>
      </c>
      <c r="C355" s="67" t="s">
        <v>2337</v>
      </c>
      <c r="D355" s="74" t="s">
        <v>2023</v>
      </c>
    </row>
    <row r="356" spans="1:4">
      <c r="A356" t="s">
        <v>2351</v>
      </c>
      <c r="B356" s="71">
        <v>0</v>
      </c>
      <c r="C356" s="67" t="s">
        <v>2337</v>
      </c>
      <c r="D356" s="74" t="s">
        <v>2023</v>
      </c>
    </row>
    <row r="357" spans="1:4">
      <c r="A357" t="s">
        <v>2352</v>
      </c>
      <c r="B357" s="71">
        <v>8.1503997515484289E-2</v>
      </c>
      <c r="C357" s="67" t="s">
        <v>2337</v>
      </c>
      <c r="D357" s="67" t="s">
        <v>2624</v>
      </c>
    </row>
    <row r="358" spans="1:4">
      <c r="A358" t="s">
        <v>2353</v>
      </c>
      <c r="B358" s="71">
        <v>2.8000000000000001E-2</v>
      </c>
      <c r="C358" s="67" t="s">
        <v>2337</v>
      </c>
      <c r="D358" s="74" t="s">
        <v>2034</v>
      </c>
    </row>
    <row r="359" spans="1:4">
      <c r="A359" t="s">
        <v>2354</v>
      </c>
      <c r="B359" s="71">
        <v>0</v>
      </c>
      <c r="C359" s="67" t="s">
        <v>2337</v>
      </c>
      <c r="D359" s="74" t="s">
        <v>2023</v>
      </c>
    </row>
    <row r="360" spans="1:4">
      <c r="A360" t="s">
        <v>2355</v>
      </c>
      <c r="B360" s="71">
        <v>0</v>
      </c>
      <c r="C360" s="67" t="s">
        <v>2337</v>
      </c>
      <c r="D360" s="74" t="s">
        <v>2023</v>
      </c>
    </row>
    <row r="362" spans="1:4">
      <c r="A362" s="1" t="s">
        <v>2356</v>
      </c>
    </row>
    <row r="363" spans="1:4">
      <c r="A363" s="65" t="s">
        <v>2357</v>
      </c>
      <c r="B363" s="65" t="s">
        <v>724</v>
      </c>
      <c r="C363" s="65" t="s">
        <v>19</v>
      </c>
      <c r="D363" s="65" t="s">
        <v>1987</v>
      </c>
    </row>
    <row r="364" spans="1:4">
      <c r="A364" t="s">
        <v>403</v>
      </c>
      <c r="B364" s="71">
        <v>7.5883040000000006E-3</v>
      </c>
      <c r="C364" s="78" t="s">
        <v>2263</v>
      </c>
      <c r="D364" s="74" t="s">
        <v>2358</v>
      </c>
    </row>
    <row r="365" spans="1:4">
      <c r="A365" t="s">
        <v>2359</v>
      </c>
      <c r="B365" s="71">
        <v>0</v>
      </c>
      <c r="C365" s="78" t="s">
        <v>2263</v>
      </c>
      <c r="D365" s="74" t="s">
        <v>2023</v>
      </c>
    </row>
    <row r="366" spans="1:4">
      <c r="A366" t="s">
        <v>2360</v>
      </c>
      <c r="B366" s="71">
        <v>0</v>
      </c>
      <c r="C366" s="78" t="s">
        <v>2263</v>
      </c>
      <c r="D366" s="74" t="s">
        <v>2023</v>
      </c>
    </row>
    <row r="367" spans="1:4">
      <c r="A367" t="s">
        <v>2361</v>
      </c>
      <c r="B367" s="71">
        <v>0</v>
      </c>
      <c r="C367" s="78" t="s">
        <v>2263</v>
      </c>
      <c r="D367" s="74" t="s">
        <v>36</v>
      </c>
    </row>
    <row r="368" spans="1:4">
      <c r="A368" t="s">
        <v>2297</v>
      </c>
      <c r="B368" s="71">
        <v>8.755345650442159E-2</v>
      </c>
      <c r="C368" s="78" t="s">
        <v>2263</v>
      </c>
      <c r="D368" s="74" t="s">
        <v>2587</v>
      </c>
    </row>
    <row r="369" spans="1:4">
      <c r="A369" t="s">
        <v>390</v>
      </c>
      <c r="B369" s="71">
        <v>0.13376526870687444</v>
      </c>
      <c r="C369" s="78" t="s">
        <v>2263</v>
      </c>
      <c r="D369" s="74" t="s">
        <v>2587</v>
      </c>
    </row>
    <row r="370" spans="1:4">
      <c r="A370" t="s">
        <v>2298</v>
      </c>
      <c r="B370" s="71">
        <v>0.11701598191968574</v>
      </c>
      <c r="C370" s="78" t="s">
        <v>2263</v>
      </c>
      <c r="D370" s="74" t="s">
        <v>2587</v>
      </c>
    </row>
    <row r="371" spans="1:4">
      <c r="A371" t="s">
        <v>2299</v>
      </c>
      <c r="B371" s="71">
        <v>5.6969079549449193E-2</v>
      </c>
      <c r="C371" s="78" t="s">
        <v>2263</v>
      </c>
      <c r="D371" s="74" t="s">
        <v>2587</v>
      </c>
    </row>
    <row r="372" spans="1:4">
      <c r="A372" t="s">
        <v>388</v>
      </c>
      <c r="B372" s="71">
        <v>5.8903586902355441E-4</v>
      </c>
      <c r="C372" s="78" t="s">
        <v>2263</v>
      </c>
      <c r="D372" s="67" t="s">
        <v>2625</v>
      </c>
    </row>
    <row r="373" spans="1:4">
      <c r="A373" t="s">
        <v>2301</v>
      </c>
      <c r="B373" s="71">
        <v>0.12844662243344382</v>
      </c>
      <c r="C373" s="78" t="s">
        <v>2263</v>
      </c>
      <c r="D373" s="74" t="s">
        <v>2587</v>
      </c>
    </row>
    <row r="374" spans="1:4">
      <c r="A374" t="s">
        <v>391</v>
      </c>
      <c r="B374" s="71">
        <v>0.14269576841728057</v>
      </c>
      <c r="C374" s="78" t="s">
        <v>2263</v>
      </c>
      <c r="D374" s="67" t="s">
        <v>2618</v>
      </c>
    </row>
    <row r="375" spans="1:4">
      <c r="A375" t="s">
        <v>2302</v>
      </c>
      <c r="B375" s="71">
        <v>0.1355439602350843</v>
      </c>
      <c r="C375" s="78" t="s">
        <v>2263</v>
      </c>
      <c r="D375" s="67" t="s">
        <v>2619</v>
      </c>
    </row>
    <row r="376" spans="1:4">
      <c r="A376" t="s">
        <v>2303</v>
      </c>
      <c r="B376" s="71">
        <v>0.17329376841728059</v>
      </c>
      <c r="C376" s="78" t="s">
        <v>2263</v>
      </c>
      <c r="D376" s="67" t="s">
        <v>2618</v>
      </c>
    </row>
    <row r="377" spans="1:4">
      <c r="A377" t="s">
        <v>2304</v>
      </c>
      <c r="B377" s="71">
        <v>0.16614196023508432</v>
      </c>
      <c r="C377" s="78" t="s">
        <v>2263</v>
      </c>
      <c r="D377" s="67" t="s">
        <v>2619</v>
      </c>
    </row>
    <row r="378" spans="1:4">
      <c r="A378" t="s">
        <v>2305</v>
      </c>
      <c r="B378" s="71">
        <v>0</v>
      </c>
      <c r="C378" s="78" t="s">
        <v>2263</v>
      </c>
      <c r="D378" s="74" t="s">
        <v>2023</v>
      </c>
    </row>
    <row r="379" spans="1:4">
      <c r="A379" t="s">
        <v>392</v>
      </c>
      <c r="B379" s="71">
        <v>0.12239200000000001</v>
      </c>
      <c r="C379" s="67" t="s">
        <v>2263</v>
      </c>
      <c r="D379" s="67" t="s">
        <v>2306</v>
      </c>
    </row>
    <row r="380" spans="1:4">
      <c r="A380" t="s">
        <v>2307</v>
      </c>
      <c r="B380" s="71">
        <v>0.15390294611693156</v>
      </c>
      <c r="C380" s="78" t="s">
        <v>2263</v>
      </c>
      <c r="D380" s="74" t="s">
        <v>2587</v>
      </c>
    </row>
    <row r="381" spans="1:4">
      <c r="A381" t="s">
        <v>2308</v>
      </c>
      <c r="B381" s="71">
        <v>0.18758871792042925</v>
      </c>
      <c r="C381" s="78" t="s">
        <v>2263</v>
      </c>
      <c r="D381" s="74" t="s">
        <v>2587</v>
      </c>
    </row>
    <row r="382" spans="1:4">
      <c r="A382" t="s">
        <v>2309</v>
      </c>
      <c r="B382" s="71">
        <v>9.0111988606593682E-3</v>
      </c>
      <c r="C382" s="78" t="s">
        <v>2263</v>
      </c>
      <c r="D382" s="74" t="s">
        <v>2620</v>
      </c>
    </row>
    <row r="383" spans="1:4">
      <c r="A383" t="s">
        <v>2310</v>
      </c>
      <c r="B383" s="71">
        <v>1.5948107435081072E-4</v>
      </c>
      <c r="C383" s="78" t="s">
        <v>2263</v>
      </c>
      <c r="D383" s="74" t="s">
        <v>2621</v>
      </c>
    </row>
    <row r="384" spans="1:4">
      <c r="A384" t="s">
        <v>2311</v>
      </c>
      <c r="B384" s="71">
        <v>0.15854764996049844</v>
      </c>
      <c r="C384" s="78" t="s">
        <v>2263</v>
      </c>
      <c r="D384" s="74" t="s">
        <v>2587</v>
      </c>
    </row>
    <row r="385" spans="1:4">
      <c r="A385" t="s">
        <v>389</v>
      </c>
      <c r="B385" s="71">
        <v>0.1399602485017529</v>
      </c>
      <c r="C385" s="78" t="s">
        <v>2263</v>
      </c>
      <c r="D385" s="74" t="s">
        <v>2587</v>
      </c>
    </row>
    <row r="386" spans="1:4">
      <c r="A386" t="s">
        <v>2312</v>
      </c>
      <c r="B386" s="71">
        <v>0.24337856304005165</v>
      </c>
      <c r="C386" s="78" t="s">
        <v>2263</v>
      </c>
      <c r="D386" s="74" t="s">
        <v>2587</v>
      </c>
    </row>
    <row r="387" spans="1:4">
      <c r="A387" t="s">
        <v>2313</v>
      </c>
      <c r="B387" s="71">
        <v>1.2090542694023832E-2</v>
      </c>
      <c r="C387" s="78" t="s">
        <v>2263</v>
      </c>
      <c r="D387" s="74" t="s">
        <v>2620</v>
      </c>
    </row>
    <row r="388" spans="1:4">
      <c r="A388" t="s">
        <v>2314</v>
      </c>
      <c r="B388" s="71">
        <v>2.13979601176638E-4</v>
      </c>
      <c r="C388" s="78" t="s">
        <v>2263</v>
      </c>
      <c r="D388" s="74" t="s">
        <v>2621</v>
      </c>
    </row>
    <row r="389" spans="1:4">
      <c r="A389" t="s">
        <v>2315</v>
      </c>
      <c r="B389" s="71">
        <v>0.21272720317530394</v>
      </c>
      <c r="C389" s="78" t="s">
        <v>2263</v>
      </c>
      <c r="D389" s="74" t="s">
        <v>2587</v>
      </c>
    </row>
    <row r="390" spans="1:4">
      <c r="A390" t="s">
        <v>2316</v>
      </c>
      <c r="B390" s="71">
        <v>0.21578830678797511</v>
      </c>
      <c r="C390" s="78" t="s">
        <v>2263</v>
      </c>
      <c r="D390" s="74" t="s">
        <v>2587</v>
      </c>
    </row>
    <row r="391" spans="1:4">
      <c r="A391" t="s">
        <v>2317</v>
      </c>
      <c r="B391" s="71">
        <v>0.1830370236245886</v>
      </c>
      <c r="C391" s="78" t="s">
        <v>2263</v>
      </c>
      <c r="D391" s="74" t="s">
        <v>2626</v>
      </c>
    </row>
    <row r="392" spans="1:4">
      <c r="A392" t="s">
        <v>2319</v>
      </c>
      <c r="B392" s="71">
        <v>0.18442316975601358</v>
      </c>
      <c r="C392" s="78" t="s">
        <v>2263</v>
      </c>
      <c r="D392" s="74" t="s">
        <v>2627</v>
      </c>
    </row>
    <row r="393" spans="1:4">
      <c r="A393" t="s">
        <v>2321</v>
      </c>
      <c r="B393" s="71">
        <v>0.19026102455637409</v>
      </c>
      <c r="C393" s="78" t="s">
        <v>2263</v>
      </c>
      <c r="D393" s="74" t="s">
        <v>2628</v>
      </c>
    </row>
    <row r="394" spans="1:4">
      <c r="A394" t="s">
        <v>2323</v>
      </c>
      <c r="B394" s="71">
        <v>1.0271684509096254E-2</v>
      </c>
      <c r="C394" s="78" t="s">
        <v>2263</v>
      </c>
      <c r="D394" s="74" t="s">
        <v>2620</v>
      </c>
    </row>
    <row r="395" spans="1:4">
      <c r="A395" t="s">
        <v>2325</v>
      </c>
      <c r="B395" s="71">
        <v>1.8178927201961499E-4</v>
      </c>
      <c r="C395" s="78" t="s">
        <v>2263</v>
      </c>
      <c r="D395" s="74" t="s">
        <v>2621</v>
      </c>
    </row>
    <row r="396" spans="1:4">
      <c r="A396" t="s">
        <v>2327</v>
      </c>
      <c r="B396" s="71">
        <v>0.18072528031344576</v>
      </c>
      <c r="C396" s="78" t="s">
        <v>2263</v>
      </c>
      <c r="D396" s="74" t="s">
        <v>2629</v>
      </c>
    </row>
    <row r="397" spans="1:4">
      <c r="A397" t="s">
        <v>2329</v>
      </c>
      <c r="B397" s="71">
        <v>0.15956034956462306</v>
      </c>
      <c r="C397" s="78" t="s">
        <v>2263</v>
      </c>
      <c r="D397" s="79" t="s">
        <v>2630</v>
      </c>
    </row>
    <row r="398" spans="1:4">
      <c r="A398" t="s">
        <v>2331</v>
      </c>
      <c r="B398" s="71">
        <v>0.1619878620326691</v>
      </c>
      <c r="C398" s="78" t="s">
        <v>2263</v>
      </c>
      <c r="D398" s="74" t="s">
        <v>2587</v>
      </c>
    </row>
    <row r="399" spans="1:4">
      <c r="A399" t="s">
        <v>2332</v>
      </c>
      <c r="B399" s="71">
        <v>9.0136810368372528E-3</v>
      </c>
      <c r="C399" s="78" t="s">
        <v>2263</v>
      </c>
      <c r="D399" s="74" t="s">
        <v>2620</v>
      </c>
    </row>
    <row r="400" spans="1:4">
      <c r="A400" t="s">
        <v>2333</v>
      </c>
      <c r="B400" s="71">
        <v>1.5952500414635716E-4</v>
      </c>
      <c r="C400" s="78" t="s">
        <v>2263</v>
      </c>
      <c r="D400" s="74" t="s">
        <v>2621</v>
      </c>
    </row>
    <row r="401" spans="1:4">
      <c r="A401" t="s">
        <v>2334</v>
      </c>
      <c r="B401" s="71">
        <v>0.15859132264000281</v>
      </c>
      <c r="C401" s="78" t="s">
        <v>2263</v>
      </c>
      <c r="D401" s="74" t="s">
        <v>2587</v>
      </c>
    </row>
    <row r="402" spans="1:4">
      <c r="A402" t="s">
        <v>2335</v>
      </c>
      <c r="B402" s="71">
        <v>0.11727728619007741</v>
      </c>
      <c r="C402" s="78" t="s">
        <v>2263</v>
      </c>
      <c r="D402" s="74" t="s">
        <v>2587</v>
      </c>
    </row>
    <row r="403" spans="1:4">
      <c r="A403" t="s">
        <v>2336</v>
      </c>
      <c r="B403" s="71">
        <v>0.18442316975601358</v>
      </c>
      <c r="C403" s="78" t="s">
        <v>2263</v>
      </c>
      <c r="D403" s="74" t="s">
        <v>2627</v>
      </c>
    </row>
    <row r="404" spans="1:4">
      <c r="A404" t="s">
        <v>2362</v>
      </c>
      <c r="B404" s="71">
        <v>4.0492233810872198E-2</v>
      </c>
      <c r="C404" s="67" t="s">
        <v>2337</v>
      </c>
      <c r="D404" s="67" t="s">
        <v>2623</v>
      </c>
    </row>
    <row r="405" spans="1:4">
      <c r="A405" t="s">
        <v>2363</v>
      </c>
      <c r="B405" s="71">
        <v>0.10439710947943634</v>
      </c>
      <c r="C405" s="67" t="s">
        <v>2337</v>
      </c>
      <c r="D405" s="67" t="s">
        <v>2622</v>
      </c>
    </row>
    <row r="406" spans="1:4">
      <c r="A406" t="s">
        <v>2364</v>
      </c>
      <c r="B406" s="71">
        <v>2.3222120233711785E-2</v>
      </c>
      <c r="C406" s="67" t="s">
        <v>2337</v>
      </c>
      <c r="D406" s="67" t="s">
        <v>2631</v>
      </c>
    </row>
    <row r="407" spans="1:4">
      <c r="A407" t="s">
        <v>2365</v>
      </c>
      <c r="B407" s="71">
        <v>8.1503997515484289E-2</v>
      </c>
      <c r="C407" s="67" t="s">
        <v>2337</v>
      </c>
      <c r="D407" s="67" t="s">
        <v>2624</v>
      </c>
    </row>
    <row r="408" spans="1:4">
      <c r="A408" t="s">
        <v>2366</v>
      </c>
      <c r="B408" s="71">
        <v>0</v>
      </c>
      <c r="C408" s="67" t="s">
        <v>2337</v>
      </c>
      <c r="D408" s="74" t="s">
        <v>2023</v>
      </c>
    </row>
    <row r="409" spans="1:4">
      <c r="A409" t="s">
        <v>2336</v>
      </c>
      <c r="B409" s="71">
        <v>0.14876</v>
      </c>
      <c r="C409" s="67" t="s">
        <v>2337</v>
      </c>
      <c r="D409" s="67" t="s">
        <v>2034</v>
      </c>
    </row>
    <row r="410" spans="1:4">
      <c r="A410" t="s">
        <v>2367</v>
      </c>
      <c r="B410" s="71">
        <v>0</v>
      </c>
      <c r="C410" s="67" t="s">
        <v>2337</v>
      </c>
      <c r="D410" s="74" t="s">
        <v>2023</v>
      </c>
    </row>
    <row r="411" spans="1:4">
      <c r="A411" t="s">
        <v>2368</v>
      </c>
      <c r="B411" s="71">
        <v>0</v>
      </c>
      <c r="C411" s="67" t="s">
        <v>2337</v>
      </c>
      <c r="D411" s="74" t="s">
        <v>2023</v>
      </c>
    </row>
    <row r="413" spans="1:4">
      <c r="A413" s="1" t="s">
        <v>2369</v>
      </c>
    </row>
    <row r="414" spans="1:4">
      <c r="A414" s="65" t="s">
        <v>2370</v>
      </c>
      <c r="B414" s="65" t="s">
        <v>2027</v>
      </c>
      <c r="C414" s="65" t="s">
        <v>19</v>
      </c>
      <c r="D414" s="65" t="s">
        <v>1987</v>
      </c>
    </row>
    <row r="415" spans="1:4">
      <c r="A415" t="s">
        <v>259</v>
      </c>
      <c r="B415" s="71">
        <v>9122.6364000000012</v>
      </c>
      <c r="C415" s="67" t="s">
        <v>2211</v>
      </c>
      <c r="D415" s="74" t="s">
        <v>2052</v>
      </c>
    </row>
    <row r="416" spans="1:4">
      <c r="A416" t="s">
        <v>2371</v>
      </c>
      <c r="B416" s="71">
        <v>9122.6364000000012</v>
      </c>
      <c r="C416" s="67" t="s">
        <v>2211</v>
      </c>
      <c r="D416" s="74" t="s">
        <v>2052</v>
      </c>
    </row>
    <row r="417" spans="1:4">
      <c r="A417" t="s">
        <v>260</v>
      </c>
      <c r="B417" s="71">
        <v>3116.2915638696181</v>
      </c>
      <c r="C417" s="67" t="s">
        <v>2211</v>
      </c>
      <c r="D417" s="74" t="s">
        <v>2052</v>
      </c>
    </row>
    <row r="418" spans="1:4">
      <c r="A418" t="s">
        <v>261</v>
      </c>
      <c r="B418" s="71">
        <v>2574.1647528352833</v>
      </c>
      <c r="C418" s="67" t="s">
        <v>2211</v>
      </c>
      <c r="D418" s="74" t="s">
        <v>2052</v>
      </c>
    </row>
    <row r="419" spans="1:4">
      <c r="A419" t="s">
        <v>262</v>
      </c>
      <c r="B419" s="71">
        <v>3269.8388922118374</v>
      </c>
      <c r="C419" s="67" t="s">
        <v>2211</v>
      </c>
      <c r="D419" s="74" t="s">
        <v>2052</v>
      </c>
    </row>
    <row r="420" spans="1:4">
      <c r="A420" t="s">
        <v>263</v>
      </c>
      <c r="B420" s="71">
        <v>2600.6363999999999</v>
      </c>
      <c r="C420" s="67" t="s">
        <v>2211</v>
      </c>
      <c r="D420" s="74" t="s">
        <v>2052</v>
      </c>
    </row>
    <row r="421" spans="1:4">
      <c r="A421" t="s">
        <v>264</v>
      </c>
      <c r="B421" s="71">
        <v>4032.3924975609766</v>
      </c>
      <c r="C421" s="67" t="s">
        <v>2211</v>
      </c>
      <c r="D421" s="74" t="s">
        <v>2052</v>
      </c>
    </row>
    <row r="422" spans="1:4">
      <c r="A422" t="s">
        <v>2372</v>
      </c>
      <c r="B422" s="71">
        <v>3104.7269923344943</v>
      </c>
      <c r="C422" s="67" t="s">
        <v>2211</v>
      </c>
      <c r="D422" s="74" t="s">
        <v>2052</v>
      </c>
    </row>
    <row r="423" spans="1:4">
      <c r="A423" t="s">
        <v>2373</v>
      </c>
      <c r="B423" s="71">
        <v>3777.9489000000003</v>
      </c>
      <c r="C423" s="67" t="s">
        <v>2211</v>
      </c>
      <c r="D423" s="74" t="s">
        <v>2052</v>
      </c>
    </row>
    <row r="424" spans="1:4">
      <c r="A424" t="s">
        <v>2374</v>
      </c>
      <c r="B424" s="71">
        <v>3413.0841611940295</v>
      </c>
      <c r="C424" s="67" t="s">
        <v>2211</v>
      </c>
      <c r="D424" s="74" t="s">
        <v>2052</v>
      </c>
    </row>
    <row r="425" spans="1:4">
      <c r="A425" t="s">
        <v>2375</v>
      </c>
      <c r="B425" s="71">
        <v>828.86815599755687</v>
      </c>
      <c r="C425" s="67" t="s">
        <v>2211</v>
      </c>
      <c r="D425" s="74" t="s">
        <v>2052</v>
      </c>
    </row>
    <row r="426" spans="1:4">
      <c r="A426" t="s">
        <v>2376</v>
      </c>
      <c r="B426" s="71">
        <v>884.1607826337796</v>
      </c>
      <c r="C426" s="67" t="s">
        <v>2211</v>
      </c>
      <c r="D426" s="74" t="s">
        <v>2052</v>
      </c>
    </row>
    <row r="427" spans="1:4">
      <c r="A427" t="s">
        <v>2377</v>
      </c>
      <c r="B427" s="71">
        <v>919.39628000000005</v>
      </c>
      <c r="C427" s="67" t="s">
        <v>2211</v>
      </c>
      <c r="D427" s="74" t="s">
        <v>2052</v>
      </c>
    </row>
    <row r="428" spans="1:4">
      <c r="A428" t="s">
        <v>2378</v>
      </c>
      <c r="B428" s="71">
        <v>312.61178017290251</v>
      </c>
      <c r="C428" s="67" t="s">
        <v>2211</v>
      </c>
      <c r="D428" s="74" t="s">
        <v>2052</v>
      </c>
    </row>
    <row r="430" spans="1:4">
      <c r="A430" s="1072" t="s">
        <v>481</v>
      </c>
      <c r="B430" s="174"/>
      <c r="C430" s="174"/>
    </row>
    <row r="431" spans="1:4">
      <c r="A431" s="1071" t="s">
        <v>246</v>
      </c>
      <c r="B431" s="1071" t="s">
        <v>822</v>
      </c>
      <c r="C431" s="1071" t="s">
        <v>19</v>
      </c>
      <c r="D431" s="65" t="s">
        <v>1232</v>
      </c>
    </row>
    <row r="432" spans="1:4">
      <c r="A432" t="s">
        <v>251</v>
      </c>
      <c r="B432" s="71">
        <v>36.979675999999998</v>
      </c>
      <c r="C432" s="67" t="s">
        <v>2211</v>
      </c>
      <c r="D432" s="74" t="s">
        <v>2379</v>
      </c>
    </row>
    <row r="433" spans="1:4">
      <c r="A433" t="s">
        <v>249</v>
      </c>
      <c r="B433" s="71">
        <v>133.09710100000001</v>
      </c>
      <c r="C433" s="67" t="s">
        <v>2211</v>
      </c>
      <c r="D433" s="74" t="s">
        <v>2379</v>
      </c>
    </row>
    <row r="434" spans="1:4">
      <c r="A434" t="s">
        <v>1581</v>
      </c>
      <c r="B434" s="71">
        <v>234.926334</v>
      </c>
      <c r="C434" s="67" t="s">
        <v>2211</v>
      </c>
      <c r="D434" s="74" t="s">
        <v>2379</v>
      </c>
    </row>
    <row r="435" spans="1:4">
      <c r="A435" t="s">
        <v>1582</v>
      </c>
      <c r="B435" s="71">
        <v>171.75962000000001</v>
      </c>
      <c r="C435" s="67" t="s">
        <v>2211</v>
      </c>
      <c r="D435" s="74" t="s">
        <v>2379</v>
      </c>
    </row>
    <row r="436" spans="1:4">
      <c r="A436" t="s">
        <v>252</v>
      </c>
      <c r="B436" s="71">
        <v>19.396491000000001</v>
      </c>
      <c r="C436" s="67" t="s">
        <v>2211</v>
      </c>
      <c r="D436" s="74" t="s">
        <v>2379</v>
      </c>
    </row>
    <row r="437" spans="1:4">
      <c r="A437" t="s">
        <v>357</v>
      </c>
      <c r="B437" s="71">
        <v>139.21463499999999</v>
      </c>
      <c r="C437" s="67" t="s">
        <v>2211</v>
      </c>
      <c r="D437" s="74" t="s">
        <v>2379</v>
      </c>
    </row>
    <row r="438" spans="1:4">
      <c r="A438" t="s">
        <v>1583</v>
      </c>
      <c r="B438" s="71">
        <v>219.17143000000002</v>
      </c>
      <c r="C438" s="67" t="s">
        <v>2211</v>
      </c>
      <c r="D438" s="74" t="s">
        <v>2379</v>
      </c>
    </row>
    <row r="439" spans="1:4">
      <c r="A439" t="s">
        <v>362</v>
      </c>
      <c r="B439" s="71">
        <v>170.656137</v>
      </c>
      <c r="C439" s="67" t="s">
        <v>2211</v>
      </c>
      <c r="D439" s="74" t="s">
        <v>2379</v>
      </c>
    </row>
    <row r="440" spans="1:4">
      <c r="A440" t="s">
        <v>248</v>
      </c>
      <c r="B440" s="71">
        <v>270.91088999999999</v>
      </c>
      <c r="C440" s="67" t="s">
        <v>2211</v>
      </c>
      <c r="D440" s="74" t="s">
        <v>2379</v>
      </c>
    </row>
    <row r="441" spans="1:4">
      <c r="A441" t="s">
        <v>2380</v>
      </c>
      <c r="B441" s="71">
        <v>156.81912399999999</v>
      </c>
      <c r="C441" s="67" t="s">
        <v>2211</v>
      </c>
      <c r="D441" s="74" t="s">
        <v>2379</v>
      </c>
    </row>
    <row r="442" spans="1:4">
      <c r="A442" t="s">
        <v>1584</v>
      </c>
      <c r="B442" s="71">
        <v>66.981628999999998</v>
      </c>
      <c r="C442" s="67" t="s">
        <v>2211</v>
      </c>
      <c r="D442" s="74" t="s">
        <v>2379</v>
      </c>
    </row>
    <row r="443" spans="1:4">
      <c r="A443" t="s">
        <v>1585</v>
      </c>
      <c r="B443" s="71">
        <v>77.350678000000002</v>
      </c>
      <c r="C443" s="67" t="s">
        <v>2211</v>
      </c>
      <c r="D443" s="74" t="s">
        <v>2379</v>
      </c>
    </row>
    <row r="444" spans="1:4">
      <c r="A444" t="s">
        <v>136</v>
      </c>
      <c r="B444" s="71">
        <v>10.67487</v>
      </c>
      <c r="C444" s="67" t="s">
        <v>2211</v>
      </c>
      <c r="D444" s="74" t="s">
        <v>2379</v>
      </c>
    </row>
    <row r="445" spans="1:4">
      <c r="A445" t="s">
        <v>1586</v>
      </c>
      <c r="B445" s="71">
        <v>80.550388999999996</v>
      </c>
      <c r="C445" s="67" t="s">
        <v>2211</v>
      </c>
      <c r="D445" s="74" t="s">
        <v>2379</v>
      </c>
    </row>
    <row r="446" spans="1:4">
      <c r="A446" t="s">
        <v>1587</v>
      </c>
      <c r="B446" s="71">
        <v>54.341462</v>
      </c>
      <c r="C446" s="67" t="s">
        <v>2211</v>
      </c>
      <c r="D446" s="74" t="s">
        <v>2379</v>
      </c>
    </row>
    <row r="447" spans="1:4">
      <c r="A447" t="s">
        <v>2381</v>
      </c>
      <c r="B447" s="71">
        <v>277.00099399999999</v>
      </c>
      <c r="C447" s="67" t="s">
        <v>2211</v>
      </c>
      <c r="D447" s="74" t="s">
        <v>2379</v>
      </c>
    </row>
    <row r="448" spans="1:4">
      <c r="A448" t="s">
        <v>1588</v>
      </c>
      <c r="B448" s="71">
        <v>83.50310300000001</v>
      </c>
      <c r="C448" s="67" t="s">
        <v>2211</v>
      </c>
      <c r="D448" s="74" t="s">
        <v>2379</v>
      </c>
    </row>
    <row r="449" spans="1:4">
      <c r="A449" t="s">
        <v>1589</v>
      </c>
      <c r="B449" s="71">
        <v>16.435462000000001</v>
      </c>
      <c r="C449" s="67" t="s">
        <v>2211</v>
      </c>
      <c r="D449" s="74" t="s">
        <v>2379</v>
      </c>
    </row>
    <row r="450" spans="1:4">
      <c r="A450" t="s">
        <v>1590</v>
      </c>
      <c r="B450" s="71">
        <v>198.30254000000002</v>
      </c>
      <c r="C450" s="67" t="s">
        <v>2211</v>
      </c>
      <c r="D450" s="74" t="s">
        <v>2379</v>
      </c>
    </row>
    <row r="451" spans="1:4">
      <c r="A451" t="s">
        <v>1591</v>
      </c>
      <c r="B451" s="71">
        <v>27.406261000000001</v>
      </c>
      <c r="C451" s="67" t="s">
        <v>2211</v>
      </c>
      <c r="D451" s="74" t="s">
        <v>2379</v>
      </c>
    </row>
    <row r="452" spans="1:4">
      <c r="A452" t="s">
        <v>1850</v>
      </c>
      <c r="B452" s="71">
        <v>55.490472999999994</v>
      </c>
      <c r="C452" s="67" t="s">
        <v>2211</v>
      </c>
      <c r="D452" s="74" t="s">
        <v>2379</v>
      </c>
    </row>
    <row r="453" spans="1:4">
      <c r="A453" t="s">
        <v>2382</v>
      </c>
      <c r="B453" s="71">
        <v>259.08197999999999</v>
      </c>
      <c r="C453" s="67" t="s">
        <v>2211</v>
      </c>
      <c r="D453" s="74" t="s">
        <v>2379</v>
      </c>
    </row>
    <row r="454" spans="1:4">
      <c r="A454" t="s">
        <v>1592</v>
      </c>
      <c r="B454" s="71">
        <v>116.381308</v>
      </c>
      <c r="C454" s="67" t="s">
        <v>2211</v>
      </c>
      <c r="D454" s="74" t="s">
        <v>2379</v>
      </c>
    </row>
    <row r="455" spans="1:4">
      <c r="A455" t="s">
        <v>1593</v>
      </c>
      <c r="B455" s="71">
        <v>272.36454500000002</v>
      </c>
      <c r="C455" s="67" t="s">
        <v>2211</v>
      </c>
      <c r="D455" s="74" t="s">
        <v>2379</v>
      </c>
    </row>
    <row r="456" spans="1:4">
      <c r="A456" t="s">
        <v>1594</v>
      </c>
      <c r="B456" s="71">
        <v>357.48173500000001</v>
      </c>
      <c r="C456" s="67" t="s">
        <v>2211</v>
      </c>
      <c r="D456" s="74" t="s">
        <v>2379</v>
      </c>
    </row>
    <row r="457" spans="1:4">
      <c r="A457" t="s">
        <v>1595</v>
      </c>
      <c r="B457" s="71">
        <v>58.885259000000005</v>
      </c>
      <c r="C457" s="67" t="s">
        <v>2211</v>
      </c>
      <c r="D457" s="74" t="s">
        <v>2379</v>
      </c>
    </row>
    <row r="458" spans="1:4">
      <c r="A458" t="s">
        <v>1596</v>
      </c>
      <c r="B458" s="71">
        <v>389.02549500000003</v>
      </c>
      <c r="C458" s="67" t="s">
        <v>2211</v>
      </c>
      <c r="D458" s="74" t="s">
        <v>2379</v>
      </c>
    </row>
    <row r="459" spans="1:4">
      <c r="A459" t="s">
        <v>1597</v>
      </c>
      <c r="B459" s="71">
        <v>38.758453000000003</v>
      </c>
      <c r="C459" s="67" t="s">
        <v>2211</v>
      </c>
      <c r="D459" s="74" t="s">
        <v>2379</v>
      </c>
    </row>
    <row r="460" spans="1:4">
      <c r="A460" t="s">
        <v>1598</v>
      </c>
      <c r="B460" s="71">
        <v>44.430540000000001</v>
      </c>
      <c r="C460" s="67" t="s">
        <v>2211</v>
      </c>
      <c r="D460" s="74" t="s">
        <v>2379</v>
      </c>
    </row>
    <row r="461" spans="1:4">
      <c r="A461" t="s">
        <v>1599</v>
      </c>
      <c r="B461" s="71">
        <v>32.187100999999998</v>
      </c>
      <c r="C461" s="67" t="s">
        <v>2211</v>
      </c>
      <c r="D461" s="74" t="s">
        <v>2379</v>
      </c>
    </row>
    <row r="462" spans="1:4">
      <c r="A462" t="s">
        <v>1600</v>
      </c>
      <c r="B462" s="71">
        <v>104.87048900000001</v>
      </c>
      <c r="C462" s="67" t="s">
        <v>2211</v>
      </c>
      <c r="D462" s="74" t="s">
        <v>2379</v>
      </c>
    </row>
    <row r="463" spans="1:4">
      <c r="A463" t="s">
        <v>1601</v>
      </c>
      <c r="B463" s="71">
        <v>23.369310000000002</v>
      </c>
      <c r="C463" s="67" t="s">
        <v>2211</v>
      </c>
      <c r="D463" s="74" t="s">
        <v>2379</v>
      </c>
    </row>
    <row r="464" spans="1:4">
      <c r="A464" t="s">
        <v>1602</v>
      </c>
      <c r="B464" s="71">
        <v>28.737786</v>
      </c>
      <c r="C464" s="67" t="s">
        <v>2211</v>
      </c>
      <c r="D464" s="74" t="s">
        <v>2379</v>
      </c>
    </row>
    <row r="465" spans="1:4">
      <c r="A465" t="s">
        <v>1603</v>
      </c>
      <c r="B465" s="71">
        <v>43.970155000000005</v>
      </c>
      <c r="C465" s="67" t="s">
        <v>2211</v>
      </c>
      <c r="D465" s="74" t="s">
        <v>2379</v>
      </c>
    </row>
    <row r="466" spans="1:4">
      <c r="A466" t="s">
        <v>1604</v>
      </c>
      <c r="B466" s="71">
        <v>119.81510600000001</v>
      </c>
      <c r="C466" s="67" t="s">
        <v>2211</v>
      </c>
      <c r="D466" s="74" t="s">
        <v>2379</v>
      </c>
    </row>
    <row r="467" spans="1:4">
      <c r="A467" t="s">
        <v>1605</v>
      </c>
      <c r="B467" s="71">
        <v>158.48816000000002</v>
      </c>
      <c r="C467" s="67" t="s">
        <v>2211</v>
      </c>
      <c r="D467" s="74" t="s">
        <v>2379</v>
      </c>
    </row>
    <row r="468" spans="1:4">
      <c r="A468" t="s">
        <v>1606</v>
      </c>
      <c r="B468" s="71">
        <v>240.06148100000001</v>
      </c>
      <c r="C468" s="67" t="s">
        <v>2211</v>
      </c>
      <c r="D468" s="74" t="s">
        <v>2379</v>
      </c>
    </row>
    <row r="469" spans="1:4">
      <c r="A469" t="s">
        <v>2383</v>
      </c>
      <c r="B469" s="71">
        <v>241.38670000000002</v>
      </c>
      <c r="C469" s="67" t="s">
        <v>2211</v>
      </c>
      <c r="D469" s="74" t="s">
        <v>2379</v>
      </c>
    </row>
    <row r="470" spans="1:4">
      <c r="A470" t="s">
        <v>1607</v>
      </c>
      <c r="B470" s="71">
        <v>24.975329000000002</v>
      </c>
      <c r="C470" s="67" t="s">
        <v>2211</v>
      </c>
      <c r="D470" s="74" t="s">
        <v>2379</v>
      </c>
    </row>
    <row r="471" spans="1:4">
      <c r="A471" t="s">
        <v>1608</v>
      </c>
      <c r="B471" s="71">
        <v>117.47178700000001</v>
      </c>
      <c r="C471" s="67" t="s">
        <v>2211</v>
      </c>
      <c r="D471" s="74" t="s">
        <v>2379</v>
      </c>
    </row>
    <row r="472" spans="1:4">
      <c r="A472" t="s">
        <v>1609</v>
      </c>
      <c r="B472" s="71">
        <v>172.00251700000001</v>
      </c>
      <c r="C472" s="67" t="s">
        <v>2211</v>
      </c>
      <c r="D472" s="74" t="s">
        <v>2379</v>
      </c>
    </row>
    <row r="473" spans="1:4">
      <c r="A473" t="s">
        <v>1610</v>
      </c>
      <c r="B473" s="71">
        <v>100.281699</v>
      </c>
      <c r="C473" s="67" t="s">
        <v>2211</v>
      </c>
      <c r="D473" s="74" t="s">
        <v>2379</v>
      </c>
    </row>
    <row r="474" spans="1:4">
      <c r="A474" t="s">
        <v>1611</v>
      </c>
      <c r="B474" s="71">
        <v>100.59382000000001</v>
      </c>
      <c r="C474" s="67" t="s">
        <v>2211</v>
      </c>
      <c r="D474" s="74" t="s">
        <v>2379</v>
      </c>
    </row>
    <row r="475" spans="1:4">
      <c r="A475" t="s">
        <v>1612</v>
      </c>
      <c r="B475" s="71">
        <v>32.409173000000003</v>
      </c>
      <c r="C475" s="67" t="s">
        <v>2211</v>
      </c>
      <c r="D475" s="74" t="s">
        <v>2379</v>
      </c>
    </row>
    <row r="476" spans="1:4">
      <c r="A476" t="s">
        <v>1613</v>
      </c>
      <c r="B476" s="71">
        <v>82.914615999999995</v>
      </c>
      <c r="C476" s="67" t="s">
        <v>2211</v>
      </c>
      <c r="D476" s="74" t="s">
        <v>2379</v>
      </c>
    </row>
    <row r="477" spans="1:4">
      <c r="A477" t="s">
        <v>1614</v>
      </c>
      <c r="B477" s="71">
        <v>249.46498000000003</v>
      </c>
      <c r="C477" s="67" t="s">
        <v>2211</v>
      </c>
      <c r="D477" s="74" t="s">
        <v>2379</v>
      </c>
    </row>
    <row r="478" spans="1:4">
      <c r="A478" t="s">
        <v>1615</v>
      </c>
      <c r="B478" s="71">
        <v>55.557098000000003</v>
      </c>
      <c r="C478" s="67" t="s">
        <v>2211</v>
      </c>
      <c r="D478" s="74" t="s">
        <v>2379</v>
      </c>
    </row>
    <row r="479" spans="1:4">
      <c r="A479" t="s">
        <v>1616</v>
      </c>
      <c r="B479" s="71">
        <v>200.89913000000001</v>
      </c>
      <c r="C479" s="67" t="s">
        <v>2211</v>
      </c>
      <c r="D479" s="74" t="s">
        <v>2379</v>
      </c>
    </row>
    <row r="480" spans="1:4">
      <c r="A480" t="s">
        <v>1617</v>
      </c>
      <c r="B480" s="71">
        <v>171.85579000000001</v>
      </c>
      <c r="C480" s="67" t="s">
        <v>2211</v>
      </c>
      <c r="D480" s="74" t="s">
        <v>2379</v>
      </c>
    </row>
    <row r="481" spans="1:4">
      <c r="A481" t="s">
        <v>1618</v>
      </c>
      <c r="B481" s="71">
        <v>116.33433600000001</v>
      </c>
      <c r="C481" s="67" t="s">
        <v>2211</v>
      </c>
      <c r="D481" s="74" t="s">
        <v>2379</v>
      </c>
    </row>
    <row r="482" spans="1:4">
      <c r="A482" t="s">
        <v>2384</v>
      </c>
      <c r="B482" s="71">
        <v>218.30590000000001</v>
      </c>
      <c r="C482" s="67" t="s">
        <v>2211</v>
      </c>
      <c r="D482" s="74" t="s">
        <v>2379</v>
      </c>
    </row>
    <row r="483" spans="1:4">
      <c r="A483" t="s">
        <v>1619</v>
      </c>
      <c r="B483" s="71">
        <v>148.67882</v>
      </c>
      <c r="C483" s="67" t="s">
        <v>2211</v>
      </c>
      <c r="D483" s="74" t="s">
        <v>2379</v>
      </c>
    </row>
    <row r="484" spans="1:4">
      <c r="A484" t="s">
        <v>1620</v>
      </c>
      <c r="B484" s="71">
        <v>184.26172</v>
      </c>
      <c r="C484" s="67" t="s">
        <v>2211</v>
      </c>
      <c r="D484" s="74" t="s">
        <v>2379</v>
      </c>
    </row>
    <row r="485" spans="1:4">
      <c r="A485" t="s">
        <v>1621</v>
      </c>
      <c r="B485" s="71">
        <v>22.950928000000001</v>
      </c>
      <c r="C485" s="67" t="s">
        <v>2211</v>
      </c>
      <c r="D485" s="74" t="s">
        <v>2379</v>
      </c>
    </row>
    <row r="486" spans="1:4">
      <c r="A486" t="s">
        <v>1623</v>
      </c>
      <c r="B486" s="71">
        <v>223.40291000000002</v>
      </c>
      <c r="C486" s="67" t="s">
        <v>2211</v>
      </c>
      <c r="D486" s="74" t="s">
        <v>2379</v>
      </c>
    </row>
    <row r="487" spans="1:4">
      <c r="A487" t="s">
        <v>1624</v>
      </c>
      <c r="B487" s="71">
        <v>34.284308000000003</v>
      </c>
      <c r="C487" s="67" t="s">
        <v>2211</v>
      </c>
      <c r="D487" s="74" t="s">
        <v>2379</v>
      </c>
    </row>
    <row r="488" spans="1:4">
      <c r="A488" t="s">
        <v>1625</v>
      </c>
      <c r="B488" s="71">
        <v>293.14400499999999</v>
      </c>
      <c r="C488" s="67" t="s">
        <v>2211</v>
      </c>
      <c r="D488" s="74" t="s">
        <v>2379</v>
      </c>
    </row>
    <row r="489" spans="1:4">
      <c r="A489" t="s">
        <v>2385</v>
      </c>
      <c r="B489" s="71">
        <v>150.79456000000002</v>
      </c>
      <c r="C489" s="67" t="s">
        <v>2211</v>
      </c>
      <c r="D489" s="74" t="s">
        <v>2379</v>
      </c>
    </row>
    <row r="490" spans="1:4">
      <c r="A490" t="s">
        <v>1626</v>
      </c>
      <c r="B490" s="71">
        <v>105.846788</v>
      </c>
      <c r="C490" s="67" t="s">
        <v>2211</v>
      </c>
      <c r="D490" s="74" t="s">
        <v>2379</v>
      </c>
    </row>
    <row r="491" spans="1:4">
      <c r="A491" t="s">
        <v>1627</v>
      </c>
      <c r="B491" s="71">
        <v>67.763912000000005</v>
      </c>
      <c r="C491" s="67" t="s">
        <v>2211</v>
      </c>
      <c r="D491" s="74" t="s">
        <v>2379</v>
      </c>
    </row>
    <row r="492" spans="1:4">
      <c r="A492" t="s">
        <v>1628</v>
      </c>
      <c r="B492" s="71">
        <v>109.241517</v>
      </c>
      <c r="C492" s="67" t="s">
        <v>2211</v>
      </c>
      <c r="D492" s="74" t="s">
        <v>2379</v>
      </c>
    </row>
    <row r="493" spans="1:4">
      <c r="A493" t="s">
        <v>1629</v>
      </c>
      <c r="B493" s="71">
        <v>147.52478000000002</v>
      </c>
      <c r="C493" s="67" t="s">
        <v>2211</v>
      </c>
      <c r="D493" s="74" t="s">
        <v>2379</v>
      </c>
    </row>
    <row r="494" spans="1:4">
      <c r="A494" t="s">
        <v>1630</v>
      </c>
      <c r="B494" s="71">
        <v>174.16387</v>
      </c>
      <c r="C494" s="67" t="s">
        <v>2211</v>
      </c>
      <c r="D494" s="74" t="s">
        <v>2379</v>
      </c>
    </row>
    <row r="495" spans="1:4">
      <c r="A495" t="s">
        <v>1631</v>
      </c>
      <c r="B495" s="71">
        <v>94.243513000000007</v>
      </c>
      <c r="C495" s="67" t="s">
        <v>2211</v>
      </c>
      <c r="D495" s="74" t="s">
        <v>2379</v>
      </c>
    </row>
    <row r="496" spans="1:4">
      <c r="A496" t="s">
        <v>1632</v>
      </c>
      <c r="B496" s="71">
        <v>214.90777199999999</v>
      </c>
      <c r="C496" s="67" t="s">
        <v>2211</v>
      </c>
      <c r="D496" s="74" t="s">
        <v>2379</v>
      </c>
    </row>
    <row r="497" spans="1:4">
      <c r="A497" t="s">
        <v>254</v>
      </c>
      <c r="B497" s="71">
        <v>141.00695100000002</v>
      </c>
      <c r="C497" s="67" t="s">
        <v>2211</v>
      </c>
      <c r="D497" s="74" t="s">
        <v>2379</v>
      </c>
    </row>
    <row r="498" spans="1:4">
      <c r="A498" t="s">
        <v>1633</v>
      </c>
      <c r="B498" s="71">
        <v>72.512180000000001</v>
      </c>
      <c r="C498" s="67" t="s">
        <v>2211</v>
      </c>
      <c r="D498" s="74" t="s">
        <v>2379</v>
      </c>
    </row>
    <row r="499" spans="1:4">
      <c r="A499" t="s">
        <v>1634</v>
      </c>
      <c r="B499" s="71">
        <v>391.84336000000002</v>
      </c>
      <c r="C499" s="67" t="s">
        <v>2211</v>
      </c>
      <c r="D499" s="74" t="s">
        <v>2379</v>
      </c>
    </row>
    <row r="500" spans="1:4">
      <c r="A500" t="s">
        <v>1635</v>
      </c>
      <c r="B500" s="71">
        <v>93.919171000000006</v>
      </c>
      <c r="C500" s="67" t="s">
        <v>2211</v>
      </c>
      <c r="D500" s="74" t="s">
        <v>2379</v>
      </c>
    </row>
    <row r="501" spans="1:4">
      <c r="A501" t="s">
        <v>2386</v>
      </c>
      <c r="B501" s="71">
        <v>66.627195</v>
      </c>
      <c r="C501" s="67" t="s">
        <v>2211</v>
      </c>
      <c r="D501" s="74" t="s">
        <v>2379</v>
      </c>
    </row>
  </sheetData>
  <sheetProtection algorithmName="SHA-512" hashValue="8NEL4JCDb6nLkPXyj06rVkFIx1WzrMszFGmrCMPi2cp6pSRhf4Y9z6zFl+z5EfnvpwgYxa7eecsnZDorBUca9g==" saltValue="Svub8H+GXskiY5yVUXtMSQ==" spinCount="100000" sheet="1" objects="1" scenarios="1"/>
  <phoneticPr fontId="107"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99F82-CFCE-4802-9D29-3A7F2EC66CE3}">
  <dimension ref="A1:D20"/>
  <sheetViews>
    <sheetView workbookViewId="0">
      <selection activeCell="C4" sqref="C4"/>
    </sheetView>
  </sheetViews>
  <sheetFormatPr defaultRowHeight="14.5"/>
  <cols>
    <col min="1" max="2" width="23.1796875" customWidth="1"/>
    <col min="3" max="3" width="64.1796875" customWidth="1"/>
    <col min="4" max="4" width="23.1796875" customWidth="1"/>
  </cols>
  <sheetData>
    <row r="1" spans="1:4">
      <c r="A1" s="1" t="s">
        <v>2652</v>
      </c>
    </row>
    <row r="3" spans="1:4">
      <c r="A3" s="1176" t="s">
        <v>2633</v>
      </c>
      <c r="B3" s="1176" t="s">
        <v>2650</v>
      </c>
      <c r="C3" s="1176" t="s">
        <v>2634</v>
      </c>
      <c r="D3" s="1176" t="s">
        <v>2635</v>
      </c>
    </row>
    <row r="4" spans="1:4" ht="43.5">
      <c r="A4" s="1433" t="s">
        <v>2636</v>
      </c>
      <c r="B4" s="1434">
        <v>45608</v>
      </c>
      <c r="C4" s="1433" t="s">
        <v>2658</v>
      </c>
      <c r="D4" s="1433" t="s">
        <v>2651</v>
      </c>
    </row>
    <row r="5" spans="1:4" ht="72.5">
      <c r="A5" s="1433" t="s">
        <v>2637</v>
      </c>
      <c r="B5" s="1434">
        <v>45664</v>
      </c>
      <c r="C5" s="1433" t="s">
        <v>2639</v>
      </c>
      <c r="D5" s="1433" t="s">
        <v>2651</v>
      </c>
    </row>
    <row r="6" spans="1:4" ht="58">
      <c r="A6" s="1433"/>
      <c r="B6" s="1433"/>
      <c r="C6" s="1433" t="s">
        <v>2638</v>
      </c>
      <c r="D6" s="1433" t="s">
        <v>2651</v>
      </c>
    </row>
    <row r="7" spans="1:4" ht="29">
      <c r="A7" s="1433"/>
      <c r="B7" s="1433"/>
      <c r="C7" s="1433" t="s">
        <v>2659</v>
      </c>
      <c r="D7" s="1433" t="s">
        <v>2656</v>
      </c>
    </row>
    <row r="8" spans="1:4" ht="43.5">
      <c r="A8" s="1433"/>
      <c r="B8" s="1433"/>
      <c r="C8" s="1433" t="s">
        <v>2660</v>
      </c>
      <c r="D8" s="1433" t="s">
        <v>2651</v>
      </c>
    </row>
    <row r="9" spans="1:4" ht="72.5">
      <c r="A9" s="1433" t="s">
        <v>2640</v>
      </c>
      <c r="B9" s="1434">
        <v>46227</v>
      </c>
      <c r="C9" s="1433" t="s">
        <v>2641</v>
      </c>
      <c r="D9" s="1433" t="s">
        <v>2651</v>
      </c>
    </row>
    <row r="10" spans="1:4" ht="87">
      <c r="A10" s="1433"/>
      <c r="B10" s="1433"/>
      <c r="C10" s="1433" t="s">
        <v>2642</v>
      </c>
      <c r="D10" s="1433" t="s">
        <v>2651</v>
      </c>
    </row>
    <row r="11" spans="1:4" ht="43.5">
      <c r="A11" s="1433"/>
      <c r="B11" s="1433"/>
      <c r="C11" s="1433" t="s">
        <v>2643</v>
      </c>
      <c r="D11" s="1433" t="s">
        <v>2651</v>
      </c>
    </row>
    <row r="12" spans="1:4" ht="29">
      <c r="A12" s="1433"/>
      <c r="B12" s="1433"/>
      <c r="C12" s="1433" t="s">
        <v>2644</v>
      </c>
      <c r="D12" s="1433" t="s">
        <v>2651</v>
      </c>
    </row>
    <row r="13" spans="1:4" ht="29">
      <c r="A13" s="1433"/>
      <c r="B13" s="1433"/>
      <c r="C13" s="1433" t="s">
        <v>2645</v>
      </c>
      <c r="D13" s="1433" t="s">
        <v>2651</v>
      </c>
    </row>
    <row r="14" spans="1:4" ht="43.5">
      <c r="A14" s="1433"/>
      <c r="B14" s="1433"/>
      <c r="C14" s="1433" t="s">
        <v>2646</v>
      </c>
      <c r="D14" s="1433" t="s">
        <v>2651</v>
      </c>
    </row>
    <row r="15" spans="1:4" ht="58">
      <c r="A15" s="1433"/>
      <c r="B15" s="1433"/>
      <c r="C15" s="1433" t="s">
        <v>2647</v>
      </c>
      <c r="D15" s="1433" t="s">
        <v>2651</v>
      </c>
    </row>
    <row r="16" spans="1:4">
      <c r="A16" s="1433"/>
      <c r="B16" s="1433"/>
      <c r="C16" s="1433" t="s">
        <v>2648</v>
      </c>
      <c r="D16" s="1433" t="s">
        <v>2651</v>
      </c>
    </row>
    <row r="17" spans="1:4" ht="43.5">
      <c r="A17" s="1433"/>
      <c r="B17" s="1433"/>
      <c r="C17" s="1433" t="s">
        <v>2649</v>
      </c>
      <c r="D17" s="1433" t="s">
        <v>2651</v>
      </c>
    </row>
    <row r="18" spans="1:4" ht="29">
      <c r="A18" s="1433"/>
      <c r="B18" s="1433"/>
      <c r="C18" s="1433" t="s">
        <v>2661</v>
      </c>
      <c r="D18" s="1433" t="s">
        <v>2656</v>
      </c>
    </row>
    <row r="19" spans="1:4" ht="43.5">
      <c r="A19" s="1433"/>
      <c r="B19" s="1433"/>
      <c r="C19" s="1433" t="s">
        <v>2668</v>
      </c>
      <c r="D19" s="1433" t="s">
        <v>2656</v>
      </c>
    </row>
    <row r="20" spans="1:4" ht="29">
      <c r="A20" s="1433"/>
      <c r="B20" s="1433"/>
      <c r="C20" s="1433" t="s">
        <v>2657</v>
      </c>
      <c r="D20" s="1433" t="s">
        <v>2656</v>
      </c>
    </row>
  </sheetData>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C264-EE7E-4EA2-BE4A-47F0671755EA}">
  <dimension ref="A1:AA136"/>
  <sheetViews>
    <sheetView topLeftCell="A73" zoomScale="65" zoomScaleNormal="65" workbookViewId="0">
      <selection activeCell="AB141" sqref="AB141"/>
    </sheetView>
  </sheetViews>
  <sheetFormatPr defaultColWidth="8.81640625" defaultRowHeight="14.5"/>
  <cols>
    <col min="1" max="9" width="8.81640625" style="29"/>
    <col min="10" max="10" width="14.1796875" style="29" customWidth="1"/>
    <col min="11" max="11" width="12.1796875" style="29" customWidth="1"/>
    <col min="12" max="16" width="8.81640625" style="29"/>
    <col min="17" max="17" width="12.1796875" style="29" customWidth="1"/>
    <col min="18" max="16384" width="8.81640625" style="29"/>
  </cols>
  <sheetData>
    <row r="1" spans="1:27" ht="15" thickBot="1"/>
    <row r="2" spans="1:27" ht="15" thickBot="1">
      <c r="A2" s="1416" t="s">
        <v>1</v>
      </c>
      <c r="B2" s="1417"/>
      <c r="C2" s="1417"/>
      <c r="D2" s="1417"/>
      <c r="E2" s="1417"/>
      <c r="F2" s="1417"/>
      <c r="G2" s="1417"/>
      <c r="H2" s="1417"/>
      <c r="I2" s="1417"/>
      <c r="J2" s="1417"/>
      <c r="K2" s="1417"/>
      <c r="L2" s="1417"/>
      <c r="M2" s="1417"/>
      <c r="N2" s="1417"/>
      <c r="O2" s="1417"/>
      <c r="P2" s="1417"/>
      <c r="Q2" s="1417"/>
      <c r="R2" s="1417"/>
      <c r="S2" s="1417"/>
      <c r="T2" s="1417"/>
      <c r="U2" s="1417"/>
      <c r="V2" s="1417"/>
      <c r="W2" s="1417"/>
      <c r="X2" s="1417"/>
      <c r="Y2" s="1417"/>
      <c r="Z2" s="1417"/>
      <c r="AA2" s="1418"/>
    </row>
    <row r="3" spans="1:27" ht="15" thickBot="1"/>
    <row r="4" spans="1:27" ht="15" thickBot="1">
      <c r="O4" s="1414" t="s">
        <v>2387</v>
      </c>
      <c r="P4" s="1415"/>
    </row>
    <row r="5" spans="1:27" ht="15" thickBot="1"/>
    <row r="6" spans="1:27" ht="15" thickBot="1">
      <c r="F6" s="1419" t="s">
        <v>17</v>
      </c>
      <c r="G6" s="1406"/>
      <c r="I6"/>
      <c r="O6" s="1409" t="s">
        <v>2388</v>
      </c>
      <c r="P6" s="1411"/>
    </row>
    <row r="8" spans="1:27" ht="15" thickBot="1"/>
    <row r="9" spans="1:27" ht="15" thickBot="1">
      <c r="F9" s="1419" t="s">
        <v>2389</v>
      </c>
      <c r="G9" s="1406"/>
      <c r="I9"/>
      <c r="K9" s="1419" t="s">
        <v>2390</v>
      </c>
      <c r="L9" s="1406"/>
    </row>
    <row r="10" spans="1:27" ht="15" thickBot="1">
      <c r="O10" s="1409" t="s">
        <v>2391</v>
      </c>
      <c r="P10" s="1410"/>
      <c r="Q10" s="1411"/>
    </row>
    <row r="11" spans="1:27" ht="15" thickBot="1"/>
    <row r="12" spans="1:27" ht="15" thickBot="1">
      <c r="B12" s="1421" t="s">
        <v>2392</v>
      </c>
      <c r="C12" s="1422"/>
      <c r="D12" s="1423"/>
      <c r="F12" s="1419" t="s">
        <v>2393</v>
      </c>
      <c r="G12" s="1406"/>
      <c r="K12" s="1409" t="s">
        <v>2390</v>
      </c>
      <c r="L12" s="1411"/>
    </row>
    <row r="13" spans="1:27" ht="15" thickBot="1">
      <c r="B13" s="1424"/>
      <c r="C13" s="1425"/>
      <c r="D13" s="1426"/>
      <c r="T13" s="1414" t="s">
        <v>417</v>
      </c>
      <c r="U13" s="1420"/>
      <c r="V13" s="1415"/>
    </row>
    <row r="14" spans="1:27" ht="15" thickBot="1"/>
    <row r="15" spans="1:27" ht="15" thickBot="1">
      <c r="E15"/>
      <c r="F15" s="1419" t="s">
        <v>2394</v>
      </c>
      <c r="G15" s="1405"/>
      <c r="H15" s="1405"/>
      <c r="I15" s="1406"/>
      <c r="J15" s="468"/>
      <c r="K15" s="1409" t="s">
        <v>2395</v>
      </c>
      <c r="L15" s="1411"/>
    </row>
    <row r="17" spans="6:24" ht="15" thickBot="1"/>
    <row r="18" spans="6:24" ht="15" thickBot="1">
      <c r="F18" s="1419" t="s">
        <v>806</v>
      </c>
      <c r="G18" s="1406"/>
      <c r="K18" s="1409" t="s">
        <v>2396</v>
      </c>
      <c r="L18" s="1410"/>
      <c r="M18" s="1411"/>
      <c r="T18" s="1414" t="s">
        <v>2397</v>
      </c>
      <c r="U18" s="1420"/>
      <c r="V18" s="1420"/>
      <c r="W18" s="1420"/>
      <c r="X18" s="1415"/>
    </row>
    <row r="20" spans="6:24" ht="15" thickBot="1"/>
    <row r="21" spans="6:24" ht="15" thickBot="1">
      <c r="F21" s="1419" t="s">
        <v>2398</v>
      </c>
      <c r="G21" s="1406"/>
      <c r="O21" s="1409" t="s">
        <v>2399</v>
      </c>
      <c r="P21" s="1410"/>
      <c r="Q21" s="1411"/>
      <c r="T21" s="1414" t="s">
        <v>420</v>
      </c>
      <c r="U21" s="1420"/>
      <c r="V21" s="1420"/>
      <c r="W21" s="1420"/>
      <c r="X21" s="1415"/>
    </row>
    <row r="23" spans="6:24" ht="15" thickBot="1"/>
    <row r="24" spans="6:24" ht="15" thickBot="1">
      <c r="F24" s="601" t="s">
        <v>424</v>
      </c>
    </row>
    <row r="25" spans="6:24" ht="15" thickBot="1"/>
    <row r="26" spans="6:24" ht="15" thickBot="1">
      <c r="O26" s="1414" t="s">
        <v>2387</v>
      </c>
      <c r="P26" s="1415"/>
    </row>
    <row r="28" spans="6:24" ht="15" thickBot="1"/>
    <row r="29" spans="6:24" ht="15" thickBot="1">
      <c r="O29" s="1414" t="s">
        <v>2387</v>
      </c>
      <c r="P29" s="1415"/>
    </row>
    <row r="32" spans="6:24" ht="15" thickBot="1"/>
    <row r="33" spans="1:27" ht="15" thickBot="1">
      <c r="O33" s="602"/>
      <c r="P33" s="603"/>
      <c r="Q33" s="604" t="s">
        <v>2400</v>
      </c>
    </row>
    <row r="35" spans="1:27" ht="15" thickBot="1"/>
    <row r="36" spans="1:27" ht="15" thickBot="1">
      <c r="A36" s="1416" t="s">
        <v>184</v>
      </c>
      <c r="B36" s="1417"/>
      <c r="C36" s="1417"/>
      <c r="D36" s="1417"/>
      <c r="E36" s="1417"/>
      <c r="F36" s="1417"/>
      <c r="G36" s="1417"/>
      <c r="H36" s="1417"/>
      <c r="I36" s="1417"/>
      <c r="J36" s="1417"/>
      <c r="K36" s="1417"/>
      <c r="L36" s="1417"/>
      <c r="M36" s="1417"/>
      <c r="N36" s="1417"/>
      <c r="O36" s="1417"/>
      <c r="P36" s="1417"/>
      <c r="Q36" s="1417"/>
      <c r="R36" s="1417"/>
      <c r="S36" s="1417"/>
      <c r="T36" s="1417"/>
      <c r="U36" s="1417"/>
      <c r="V36" s="1417"/>
      <c r="W36" s="1417"/>
      <c r="X36" s="1417"/>
      <c r="Y36" s="1417"/>
      <c r="Z36" s="1417"/>
      <c r="AA36" s="1418"/>
    </row>
    <row r="38" spans="1:27" ht="15" thickBot="1"/>
    <row r="39" spans="1:27">
      <c r="B39" s="605"/>
      <c r="C39" s="606"/>
      <c r="D39" s="606"/>
      <c r="E39" s="606"/>
      <c r="F39" s="606"/>
      <c r="G39" s="606"/>
      <c r="H39" s="606"/>
      <c r="I39" s="606"/>
      <c r="J39" s="606"/>
      <c r="K39" s="606"/>
      <c r="L39" s="606"/>
      <c r="M39" s="606"/>
      <c r="N39" s="606"/>
      <c r="O39" s="606"/>
      <c r="P39" s="606"/>
      <c r="Q39" s="606"/>
      <c r="R39" s="606"/>
      <c r="S39" s="607"/>
    </row>
    <row r="40" spans="1:27" ht="15.75" customHeight="1" thickBot="1">
      <c r="B40" s="608"/>
      <c r="C40" s="1412" t="s">
        <v>2401</v>
      </c>
      <c r="D40" s="1412"/>
      <c r="E40" s="1412"/>
      <c r="F40" s="1412"/>
      <c r="G40" s="1412"/>
      <c r="H40" s="1412"/>
      <c r="S40" s="609"/>
    </row>
    <row r="41" spans="1:27" ht="15" thickBot="1">
      <c r="B41" s="608"/>
      <c r="C41" s="1412"/>
      <c r="D41" s="1412"/>
      <c r="E41" s="1412"/>
      <c r="F41" s="1412"/>
      <c r="G41" s="1412"/>
      <c r="H41" s="1412"/>
      <c r="K41" s="1409" t="s">
        <v>2402</v>
      </c>
      <c r="L41" s="1410"/>
      <c r="M41" s="1411"/>
      <c r="O41" s="1402" t="s">
        <v>456</v>
      </c>
      <c r="P41" s="1403"/>
      <c r="Q41" s="1403"/>
      <c r="R41" s="1404"/>
      <c r="S41" s="609"/>
    </row>
    <row r="42" spans="1:27">
      <c r="B42" s="608"/>
      <c r="C42" s="1412"/>
      <c r="D42" s="1412"/>
      <c r="E42" s="1412"/>
      <c r="F42" s="1412"/>
      <c r="G42" s="1412"/>
      <c r="H42" s="1412"/>
      <c r="S42" s="609"/>
    </row>
    <row r="43" spans="1:27" ht="15" thickBot="1">
      <c r="B43" s="608"/>
      <c r="S43" s="609"/>
    </row>
    <row r="44" spans="1:27" ht="15" thickBot="1">
      <c r="B44" s="608"/>
      <c r="K44" s="1409" t="s">
        <v>2403</v>
      </c>
      <c r="L44" s="1410"/>
      <c r="M44" s="1411"/>
      <c r="O44" s="1402" t="s">
        <v>459</v>
      </c>
      <c r="P44" s="1403"/>
      <c r="Q44" s="1403"/>
      <c r="R44" s="1404"/>
      <c r="S44" s="609"/>
    </row>
    <row r="45" spans="1:27" ht="15" thickBot="1">
      <c r="B45" s="608"/>
      <c r="C45" s="1398" t="s">
        <v>2404</v>
      </c>
      <c r="D45" s="1399"/>
      <c r="G45" s="1409" t="s">
        <v>2405</v>
      </c>
      <c r="H45" s="1411"/>
      <c r="S45" s="609"/>
    </row>
    <row r="46" spans="1:27" ht="15" thickBot="1">
      <c r="B46" s="608"/>
      <c r="S46" s="609"/>
    </row>
    <row r="47" spans="1:27" ht="15" thickBot="1">
      <c r="B47" s="608"/>
      <c r="K47" s="1402" t="s">
        <v>458</v>
      </c>
      <c r="L47" s="1403"/>
      <c r="M47" s="1404"/>
      <c r="S47" s="609"/>
    </row>
    <row r="48" spans="1:27">
      <c r="B48" s="608"/>
      <c r="S48" s="609"/>
    </row>
    <row r="49" spans="2:19">
      <c r="B49" s="608"/>
      <c r="S49" s="609"/>
    </row>
    <row r="50" spans="2:19" ht="15" thickBot="1">
      <c r="B50" s="608"/>
      <c r="S50" s="609"/>
    </row>
    <row r="51" spans="2:19" ht="15" thickBot="1">
      <c r="B51" s="608"/>
      <c r="K51" s="1402" t="s">
        <v>460</v>
      </c>
      <c r="L51" s="1403"/>
      <c r="M51" s="1404"/>
      <c r="S51" s="609"/>
    </row>
    <row r="52" spans="2:19">
      <c r="B52" s="608"/>
      <c r="S52" s="609"/>
    </row>
    <row r="53" spans="2:19">
      <c r="B53" s="608"/>
      <c r="S53" s="609"/>
    </row>
    <row r="54" spans="2:19" ht="15" thickBot="1">
      <c r="B54" s="608"/>
      <c r="S54" s="609"/>
    </row>
    <row r="55" spans="2:19" ht="15" thickBot="1">
      <c r="B55" s="608"/>
      <c r="L55" s="52"/>
      <c r="M55" s="1405" t="s">
        <v>2400</v>
      </c>
      <c r="N55" s="1406"/>
      <c r="S55" s="609"/>
    </row>
    <row r="56" spans="2:19" ht="15" thickBot="1">
      <c r="B56" s="610"/>
      <c r="C56" s="611"/>
      <c r="D56" s="611"/>
      <c r="E56" s="611"/>
      <c r="F56" s="611"/>
      <c r="G56" s="611"/>
      <c r="H56" s="611"/>
      <c r="I56" s="611"/>
      <c r="J56" s="611"/>
      <c r="K56" s="611"/>
      <c r="L56" s="611"/>
      <c r="M56" s="611"/>
      <c r="N56" s="611"/>
      <c r="O56" s="611"/>
      <c r="P56" s="611"/>
      <c r="Q56" s="611"/>
      <c r="R56" s="611"/>
      <c r="S56" s="612"/>
    </row>
    <row r="58" spans="2:19" ht="15" thickBot="1"/>
    <row r="59" spans="2:19">
      <c r="B59" s="605"/>
      <c r="C59" s="606"/>
      <c r="D59" s="606"/>
      <c r="E59" s="606"/>
      <c r="F59" s="606"/>
      <c r="G59" s="606"/>
      <c r="H59" s="606"/>
      <c r="I59" s="606"/>
      <c r="J59" s="606"/>
      <c r="K59" s="606"/>
      <c r="L59" s="606"/>
      <c r="M59" s="606"/>
      <c r="N59" s="606"/>
      <c r="O59" s="606"/>
      <c r="P59" s="606"/>
      <c r="Q59" s="606"/>
      <c r="R59" s="606"/>
      <c r="S59" s="607"/>
    </row>
    <row r="60" spans="2:19" ht="15" thickBot="1">
      <c r="B60" s="608"/>
      <c r="C60" s="1412" t="s">
        <v>2401</v>
      </c>
      <c r="D60" s="1412"/>
      <c r="E60" s="1412"/>
      <c r="F60" s="1412"/>
      <c r="G60" s="1412"/>
      <c r="H60" s="1412"/>
      <c r="S60" s="609"/>
    </row>
    <row r="61" spans="2:19" ht="15" thickBot="1">
      <c r="B61" s="608"/>
      <c r="C61" s="1412"/>
      <c r="D61" s="1412"/>
      <c r="E61" s="1412"/>
      <c r="F61" s="1412"/>
      <c r="G61" s="1412"/>
      <c r="H61" s="1412"/>
      <c r="K61" s="1409" t="s">
        <v>2402</v>
      </c>
      <c r="L61" s="1410"/>
      <c r="M61" s="1411"/>
      <c r="O61" s="1402" t="s">
        <v>456</v>
      </c>
      <c r="P61" s="1403"/>
      <c r="Q61" s="1403"/>
      <c r="R61" s="1404"/>
      <c r="S61" s="609"/>
    </row>
    <row r="62" spans="2:19">
      <c r="B62" s="608"/>
      <c r="C62" s="1412"/>
      <c r="D62" s="1412"/>
      <c r="E62" s="1412"/>
      <c r="F62" s="1412"/>
      <c r="G62" s="1412"/>
      <c r="H62" s="1412"/>
      <c r="S62" s="609"/>
    </row>
    <row r="63" spans="2:19" ht="15" thickBot="1">
      <c r="B63" s="608"/>
      <c r="S63" s="609"/>
    </row>
    <row r="64" spans="2:19" ht="15" thickBot="1">
      <c r="B64" s="608"/>
      <c r="K64" s="1409" t="s">
        <v>2403</v>
      </c>
      <c r="L64" s="1410"/>
      <c r="M64" s="1411"/>
      <c r="O64" s="1402" t="s">
        <v>459</v>
      </c>
      <c r="P64" s="1403"/>
      <c r="Q64" s="1403"/>
      <c r="R64" s="1404"/>
      <c r="S64" s="609"/>
    </row>
    <row r="65" spans="2:19" ht="15" thickBot="1">
      <c r="B65" s="608"/>
      <c r="C65" s="1398" t="s">
        <v>180</v>
      </c>
      <c r="D65" s="1399"/>
      <c r="G65" s="1409" t="s">
        <v>2405</v>
      </c>
      <c r="H65" s="1411"/>
      <c r="S65" s="609"/>
    </row>
    <row r="66" spans="2:19" ht="15" thickBot="1">
      <c r="B66" s="608"/>
      <c r="S66" s="609"/>
    </row>
    <row r="67" spans="2:19" ht="15" thickBot="1">
      <c r="B67" s="608"/>
      <c r="K67" s="1402" t="s">
        <v>458</v>
      </c>
      <c r="L67" s="1403"/>
      <c r="M67" s="1404"/>
      <c r="S67" s="609"/>
    </row>
    <row r="68" spans="2:19">
      <c r="B68" s="608"/>
      <c r="S68" s="609"/>
    </row>
    <row r="69" spans="2:19" ht="15" thickBot="1">
      <c r="B69" s="608"/>
      <c r="S69" s="609"/>
    </row>
    <row r="70" spans="2:19" ht="15" thickBot="1">
      <c r="B70" s="608"/>
      <c r="K70" s="1402" t="s">
        <v>460</v>
      </c>
      <c r="L70" s="1403"/>
      <c r="M70" s="1404"/>
      <c r="S70" s="609"/>
    </row>
    <row r="71" spans="2:19">
      <c r="B71" s="608"/>
      <c r="S71" s="609"/>
    </row>
    <row r="72" spans="2:19" ht="15" thickBot="1">
      <c r="B72" s="608"/>
      <c r="S72" s="609"/>
    </row>
    <row r="73" spans="2:19" ht="15" thickBot="1">
      <c r="B73" s="608"/>
      <c r="K73" s="1402" t="s">
        <v>462</v>
      </c>
      <c r="L73" s="1403"/>
      <c r="M73" s="1404"/>
      <c r="S73" s="609"/>
    </row>
    <row r="74" spans="2:19" ht="15" thickBot="1">
      <c r="B74" s="608"/>
      <c r="S74" s="609"/>
    </row>
    <row r="75" spans="2:19" ht="15" thickBot="1">
      <c r="B75" s="608"/>
      <c r="L75" s="52"/>
      <c r="M75" s="1405" t="s">
        <v>2400</v>
      </c>
      <c r="N75" s="1406"/>
      <c r="S75" s="609"/>
    </row>
    <row r="76" spans="2:19" ht="15" thickBot="1">
      <c r="B76" s="610"/>
      <c r="C76" s="611"/>
      <c r="D76" s="611"/>
      <c r="E76" s="611"/>
      <c r="F76" s="611"/>
      <c r="G76" s="611"/>
      <c r="H76" s="611"/>
      <c r="I76" s="611"/>
      <c r="J76" s="611"/>
      <c r="K76" s="611"/>
      <c r="L76" s="611"/>
      <c r="M76" s="611"/>
      <c r="N76" s="611"/>
      <c r="O76" s="611"/>
      <c r="P76" s="611"/>
      <c r="Q76" s="611"/>
      <c r="R76" s="611"/>
      <c r="S76" s="612"/>
    </row>
    <row r="78" spans="2:19" ht="15" thickBot="1"/>
    <row r="79" spans="2:19">
      <c r="B79" s="605"/>
      <c r="C79" s="606"/>
      <c r="D79" s="606"/>
      <c r="E79" s="606"/>
      <c r="F79" s="606"/>
      <c r="G79" s="606"/>
      <c r="H79" s="606"/>
      <c r="I79" s="606"/>
      <c r="J79" s="606"/>
      <c r="K79" s="606"/>
      <c r="L79" s="606"/>
      <c r="M79" s="606"/>
      <c r="N79" s="606"/>
      <c r="O79" s="606"/>
      <c r="P79" s="606"/>
      <c r="Q79" s="606"/>
      <c r="R79" s="606"/>
      <c r="S79" s="607"/>
    </row>
    <row r="80" spans="2:19">
      <c r="B80" s="608"/>
      <c r="C80" s="29" t="s">
        <v>2406</v>
      </c>
      <c r="S80" s="609"/>
    </row>
    <row r="81" spans="2:19">
      <c r="B81" s="608"/>
      <c r="K81" s="1413"/>
      <c r="L81" s="1413"/>
      <c r="M81" s="1413"/>
      <c r="O81" s="1413"/>
      <c r="P81" s="1413"/>
      <c r="Q81" s="1413"/>
      <c r="R81" s="1413"/>
      <c r="S81" s="609"/>
    </row>
    <row r="82" spans="2:19">
      <c r="B82" s="608"/>
      <c r="G82" s="468"/>
      <c r="H82" s="468"/>
      <c r="I82" s="468"/>
      <c r="J82" s="468"/>
      <c r="K82" s="468"/>
      <c r="L82" s="468"/>
      <c r="M82" s="468"/>
      <c r="N82" s="468"/>
      <c r="O82" s="468"/>
      <c r="P82" s="468"/>
      <c r="Q82" s="468"/>
      <c r="R82" s="468"/>
      <c r="S82" s="609"/>
    </row>
    <row r="83" spans="2:19" ht="15" thickBot="1">
      <c r="B83" s="608"/>
      <c r="G83" s="468"/>
      <c r="H83" s="468"/>
      <c r="I83" s="468"/>
      <c r="J83" s="468"/>
      <c r="K83" s="468"/>
      <c r="L83" s="468"/>
      <c r="M83" s="468"/>
      <c r="N83" s="468"/>
      <c r="O83" s="468"/>
      <c r="P83" s="468"/>
      <c r="Q83" s="468"/>
      <c r="R83" s="468"/>
      <c r="S83" s="609"/>
    </row>
    <row r="84" spans="2:19" ht="15" thickBot="1">
      <c r="B84" s="608"/>
      <c r="G84" s="468"/>
      <c r="H84" s="468"/>
      <c r="I84" s="468"/>
      <c r="J84" s="468"/>
      <c r="K84" s="1400" t="s">
        <v>2407</v>
      </c>
      <c r="L84" s="1408"/>
      <c r="M84" s="1401"/>
      <c r="N84" s="468"/>
      <c r="O84" s="1402" t="s">
        <v>459</v>
      </c>
      <c r="P84" s="1403"/>
      <c r="Q84" s="1403"/>
      <c r="R84" s="1404"/>
      <c r="S84" s="609"/>
    </row>
    <row r="85" spans="2:19" ht="15" thickBot="1">
      <c r="B85" s="608"/>
      <c r="C85" s="1398" t="s">
        <v>1420</v>
      </c>
      <c r="D85" s="1399"/>
      <c r="G85" s="1400" t="s">
        <v>2405</v>
      </c>
      <c r="H85" s="1401"/>
      <c r="I85" s="468"/>
      <c r="J85" s="468"/>
      <c r="K85" s="468"/>
      <c r="L85" s="468"/>
      <c r="M85" s="468"/>
      <c r="N85" s="468"/>
      <c r="O85" s="468"/>
      <c r="P85" s="468"/>
      <c r="Q85" s="468"/>
      <c r="R85" s="468"/>
      <c r="S85" s="609"/>
    </row>
    <row r="86" spans="2:19" ht="15" thickBot="1">
      <c r="B86" s="608"/>
      <c r="G86" s="468"/>
      <c r="H86" s="468"/>
      <c r="I86" s="468"/>
      <c r="J86" s="468"/>
      <c r="K86" s="468"/>
      <c r="L86" s="468"/>
      <c r="M86" s="468"/>
      <c r="N86" s="468"/>
      <c r="O86" s="468"/>
      <c r="P86" s="468"/>
      <c r="Q86" s="468"/>
      <c r="R86" s="468"/>
      <c r="S86" s="609"/>
    </row>
    <row r="87" spans="2:19" ht="15" thickBot="1">
      <c r="B87" s="608"/>
      <c r="G87" s="468"/>
      <c r="H87" s="468"/>
      <c r="I87" s="468"/>
      <c r="J87" s="468"/>
      <c r="K87" s="1402" t="s">
        <v>2408</v>
      </c>
      <c r="L87" s="1403"/>
      <c r="M87" s="1404"/>
      <c r="N87" s="468"/>
      <c r="O87" s="468"/>
      <c r="P87" s="468"/>
      <c r="Q87" s="468"/>
      <c r="R87" s="468"/>
      <c r="S87" s="609"/>
    </row>
    <row r="88" spans="2:19" ht="15" thickBot="1">
      <c r="B88" s="608"/>
      <c r="G88" s="468"/>
      <c r="H88" s="468"/>
      <c r="I88" s="468"/>
      <c r="J88" s="468"/>
      <c r="K88" s="468"/>
      <c r="L88" s="468"/>
      <c r="M88" s="468"/>
      <c r="N88" s="468"/>
      <c r="O88" s="468"/>
      <c r="P88" s="468"/>
      <c r="Q88" s="468"/>
      <c r="R88" s="468"/>
      <c r="S88" s="609"/>
    </row>
    <row r="89" spans="2:19" ht="15" thickBot="1">
      <c r="B89" s="608"/>
      <c r="G89" s="1409" t="s">
        <v>2409</v>
      </c>
      <c r="H89" s="1410"/>
      <c r="I89" s="1411"/>
      <c r="J89" s="468"/>
      <c r="K89" s="1402" t="s">
        <v>2410</v>
      </c>
      <c r="L89" s="1403"/>
      <c r="M89" s="1404"/>
      <c r="N89" s="468"/>
      <c r="O89" s="468"/>
      <c r="P89" s="468"/>
      <c r="Q89" s="468"/>
      <c r="R89" s="468"/>
      <c r="S89" s="609"/>
    </row>
    <row r="90" spans="2:19">
      <c r="B90" s="608"/>
      <c r="S90" s="609"/>
    </row>
    <row r="91" spans="2:19">
      <c r="B91" s="608"/>
      <c r="S91" s="609"/>
    </row>
    <row r="92" spans="2:19">
      <c r="B92" s="608"/>
      <c r="S92" s="609"/>
    </row>
    <row r="93" spans="2:19">
      <c r="B93" s="608"/>
      <c r="S93" s="609"/>
    </row>
    <row r="94" spans="2:19" ht="15" thickBot="1">
      <c r="B94" s="608"/>
      <c r="S94" s="609"/>
    </row>
    <row r="95" spans="2:19" ht="15" thickBot="1">
      <c r="B95" s="608"/>
      <c r="L95" s="52"/>
      <c r="M95" s="1405" t="s">
        <v>2400</v>
      </c>
      <c r="N95" s="1406"/>
      <c r="S95" s="609"/>
    </row>
    <row r="96" spans="2:19" ht="15" thickBot="1">
      <c r="B96" s="610"/>
      <c r="C96" s="611"/>
      <c r="D96" s="611"/>
      <c r="E96" s="611"/>
      <c r="F96" s="611"/>
      <c r="G96" s="611"/>
      <c r="H96" s="611"/>
      <c r="I96" s="611"/>
      <c r="J96" s="611"/>
      <c r="K96" s="611"/>
      <c r="L96" s="611"/>
      <c r="M96" s="611"/>
      <c r="N96" s="611"/>
      <c r="O96" s="611"/>
      <c r="P96" s="611"/>
      <c r="Q96" s="611"/>
      <c r="R96" s="611"/>
      <c r="S96" s="612"/>
    </row>
    <row r="98" spans="2:19" ht="15" thickBot="1"/>
    <row r="99" spans="2:19">
      <c r="B99" s="605"/>
      <c r="C99" s="606"/>
      <c r="D99" s="606"/>
      <c r="E99" s="606"/>
      <c r="F99" s="606"/>
      <c r="G99" s="606"/>
      <c r="H99" s="606"/>
      <c r="I99" s="606"/>
      <c r="J99" s="606"/>
      <c r="K99" s="606"/>
      <c r="L99" s="606"/>
      <c r="M99" s="606"/>
      <c r="N99" s="606"/>
      <c r="O99" s="606"/>
      <c r="P99" s="606"/>
      <c r="Q99" s="606"/>
      <c r="R99" s="606"/>
      <c r="S99" s="607"/>
    </row>
    <row r="100" spans="2:19" ht="15" thickBot="1">
      <c r="B100" s="608"/>
      <c r="C100" s="1412" t="s">
        <v>2401</v>
      </c>
      <c r="D100" s="1412"/>
      <c r="E100" s="1412"/>
      <c r="F100" s="1412"/>
      <c r="G100" s="1412"/>
      <c r="H100" s="1412"/>
      <c r="S100" s="609"/>
    </row>
    <row r="101" spans="2:19" ht="15" thickBot="1">
      <c r="B101" s="608"/>
      <c r="C101" s="1412"/>
      <c r="D101" s="1412"/>
      <c r="E101" s="1412"/>
      <c r="F101" s="1412"/>
      <c r="G101" s="1412"/>
      <c r="H101" s="1412"/>
      <c r="K101" s="1409" t="s">
        <v>2402</v>
      </c>
      <c r="L101" s="1410"/>
      <c r="M101" s="1411"/>
      <c r="O101" s="1402" t="s">
        <v>456</v>
      </c>
      <c r="P101" s="1403"/>
      <c r="Q101" s="1403"/>
      <c r="R101" s="1404"/>
      <c r="S101" s="609"/>
    </row>
    <row r="102" spans="2:19">
      <c r="B102" s="608"/>
      <c r="C102" s="1412"/>
      <c r="D102" s="1412"/>
      <c r="E102" s="1412"/>
      <c r="F102" s="1412"/>
      <c r="G102" s="1412"/>
      <c r="H102" s="1412"/>
      <c r="S102" s="609"/>
    </row>
    <row r="103" spans="2:19" ht="15" thickBot="1">
      <c r="B103" s="608"/>
      <c r="S103" s="609"/>
    </row>
    <row r="104" spans="2:19" ht="15" thickBot="1">
      <c r="B104" s="608"/>
      <c r="K104" s="1409" t="s">
        <v>2403</v>
      </c>
      <c r="L104" s="1410"/>
      <c r="M104" s="1411"/>
      <c r="O104" s="1402" t="s">
        <v>459</v>
      </c>
      <c r="P104" s="1403"/>
      <c r="Q104" s="1403"/>
      <c r="R104" s="1404"/>
      <c r="S104" s="609"/>
    </row>
    <row r="105" spans="2:19" ht="15" thickBot="1">
      <c r="B105" s="608"/>
      <c r="C105" s="1398" t="s">
        <v>177</v>
      </c>
      <c r="D105" s="1399"/>
      <c r="G105" s="1409" t="s">
        <v>2405</v>
      </c>
      <c r="H105" s="1411"/>
      <c r="S105" s="609"/>
    </row>
    <row r="106" spans="2:19" ht="15" thickBot="1">
      <c r="B106" s="608"/>
      <c r="S106" s="609"/>
    </row>
    <row r="107" spans="2:19" ht="15" thickBot="1">
      <c r="B107" s="608"/>
      <c r="K107" s="1402" t="s">
        <v>458</v>
      </c>
      <c r="L107" s="1403"/>
      <c r="M107" s="1404"/>
      <c r="S107" s="609"/>
    </row>
    <row r="108" spans="2:19">
      <c r="B108" s="608"/>
      <c r="S108" s="609"/>
    </row>
    <row r="109" spans="2:19" ht="15" thickBot="1">
      <c r="B109" s="608"/>
      <c r="S109" s="609"/>
    </row>
    <row r="110" spans="2:19" ht="15" thickBot="1">
      <c r="B110" s="608"/>
      <c r="K110" s="1402" t="s">
        <v>460</v>
      </c>
      <c r="L110" s="1403"/>
      <c r="M110" s="1404"/>
      <c r="S110" s="609"/>
    </row>
    <row r="111" spans="2:19">
      <c r="B111" s="608"/>
      <c r="S111" s="609"/>
    </row>
    <row r="112" spans="2:19" ht="15" thickBot="1">
      <c r="B112" s="608"/>
      <c r="S112" s="609"/>
    </row>
    <row r="113" spans="2:19" ht="15" thickBot="1">
      <c r="B113" s="608"/>
      <c r="K113" s="1402" t="s">
        <v>462</v>
      </c>
      <c r="L113" s="1403"/>
      <c r="M113" s="1404"/>
      <c r="S113" s="609"/>
    </row>
    <row r="114" spans="2:19" ht="15" thickBot="1">
      <c r="B114" s="608"/>
      <c r="S114" s="609"/>
    </row>
    <row r="115" spans="2:19" ht="15" thickBot="1">
      <c r="B115" s="608"/>
      <c r="L115" s="52"/>
      <c r="M115" s="1405" t="s">
        <v>2400</v>
      </c>
      <c r="N115" s="1406"/>
      <c r="S115" s="609"/>
    </row>
    <row r="116" spans="2:19" ht="15" thickBot="1">
      <c r="B116" s="610"/>
      <c r="C116" s="611"/>
      <c r="D116" s="611"/>
      <c r="E116" s="611"/>
      <c r="F116" s="611"/>
      <c r="G116" s="611"/>
      <c r="H116" s="611"/>
      <c r="I116" s="611"/>
      <c r="J116" s="611"/>
      <c r="K116" s="611"/>
      <c r="L116" s="611"/>
      <c r="M116" s="611"/>
      <c r="N116" s="611"/>
      <c r="O116" s="611"/>
      <c r="P116" s="611"/>
      <c r="Q116" s="611"/>
      <c r="R116" s="611"/>
      <c r="S116" s="612"/>
    </row>
    <row r="118" spans="2:19" ht="15" thickBot="1"/>
    <row r="119" spans="2:19">
      <c r="B119" s="605"/>
      <c r="C119" s="606"/>
      <c r="D119" s="606"/>
      <c r="E119" s="606"/>
      <c r="F119" s="606"/>
      <c r="G119" s="606"/>
      <c r="H119" s="606"/>
      <c r="I119" s="606"/>
      <c r="J119" s="606"/>
      <c r="K119" s="606"/>
      <c r="L119" s="606"/>
      <c r="M119" s="606"/>
      <c r="N119" s="606"/>
      <c r="O119" s="606"/>
      <c r="P119" s="606"/>
      <c r="Q119" s="606"/>
      <c r="R119" s="606"/>
      <c r="S119" s="607"/>
    </row>
    <row r="120" spans="2:19">
      <c r="B120" s="608"/>
      <c r="C120" s="29" t="s">
        <v>1306</v>
      </c>
      <c r="S120" s="609"/>
    </row>
    <row r="121" spans="2:19">
      <c r="B121" s="608"/>
      <c r="K121" s="1407"/>
      <c r="L121" s="1407"/>
      <c r="M121" s="1407"/>
      <c r="O121" s="1407"/>
      <c r="P121" s="1407"/>
      <c r="Q121" s="1407"/>
      <c r="R121" s="1407"/>
      <c r="S121" s="609"/>
    </row>
    <row r="122" spans="2:19">
      <c r="B122" s="608"/>
      <c r="S122" s="609"/>
    </row>
    <row r="123" spans="2:19" ht="15" thickBot="1">
      <c r="B123" s="608"/>
      <c r="S123" s="609"/>
    </row>
    <row r="124" spans="2:19" ht="15" thickBot="1">
      <c r="B124" s="608"/>
      <c r="K124" s="1400" t="s">
        <v>2407</v>
      </c>
      <c r="L124" s="1408"/>
      <c r="M124" s="1401"/>
      <c r="O124" s="1402" t="s">
        <v>2411</v>
      </c>
      <c r="P124" s="1403"/>
      <c r="Q124" s="1403"/>
      <c r="R124" s="1404"/>
      <c r="S124" s="609"/>
    </row>
    <row r="125" spans="2:19" ht="15" thickBot="1">
      <c r="B125" s="608"/>
      <c r="C125" s="1398" t="s">
        <v>181</v>
      </c>
      <c r="D125" s="1399"/>
      <c r="G125" s="1400" t="s">
        <v>2405</v>
      </c>
      <c r="H125" s="1401"/>
      <c r="S125" s="609"/>
    </row>
    <row r="126" spans="2:19" ht="15" thickBot="1">
      <c r="B126" s="608"/>
      <c r="K126" s="468"/>
      <c r="L126" s="468"/>
      <c r="M126" s="468"/>
      <c r="S126" s="609"/>
    </row>
    <row r="127" spans="2:19" ht="15" thickBot="1">
      <c r="B127" s="608"/>
      <c r="K127" s="1402" t="s">
        <v>2412</v>
      </c>
      <c r="L127" s="1403"/>
      <c r="M127" s="1404"/>
      <c r="S127" s="609"/>
    </row>
    <row r="128" spans="2:19">
      <c r="B128" s="608"/>
      <c r="K128" s="468"/>
      <c r="L128" s="468"/>
      <c r="M128" s="468"/>
      <c r="S128" s="609"/>
    </row>
    <row r="129" spans="2:19" ht="15" thickBot="1">
      <c r="B129" s="608"/>
      <c r="K129" s="468"/>
      <c r="L129" s="468"/>
      <c r="M129" s="468"/>
      <c r="S129" s="609"/>
    </row>
    <row r="130" spans="2:19" ht="15" thickBot="1">
      <c r="B130" s="608"/>
      <c r="K130" s="1402" t="s">
        <v>2410</v>
      </c>
      <c r="L130" s="1403"/>
      <c r="M130" s="1404"/>
      <c r="S130" s="609"/>
    </row>
    <row r="131" spans="2:19">
      <c r="B131" s="608"/>
      <c r="K131" s="468"/>
      <c r="L131" s="468"/>
      <c r="M131" s="468"/>
      <c r="S131" s="609"/>
    </row>
    <row r="132" spans="2:19" ht="15" thickBot="1">
      <c r="B132" s="608"/>
      <c r="K132" s="468"/>
      <c r="L132" s="468"/>
      <c r="M132" s="468"/>
      <c r="S132" s="609"/>
    </row>
    <row r="133" spans="2:19" ht="15" thickBot="1">
      <c r="B133" s="608"/>
      <c r="K133" s="1402" t="s">
        <v>462</v>
      </c>
      <c r="L133" s="1403"/>
      <c r="M133" s="1404"/>
      <c r="S133" s="609"/>
    </row>
    <row r="134" spans="2:19" ht="15" thickBot="1">
      <c r="B134" s="608"/>
      <c r="S134" s="609"/>
    </row>
    <row r="135" spans="2:19" ht="15" thickBot="1">
      <c r="B135" s="608"/>
      <c r="L135" s="52"/>
      <c r="M135" s="1405" t="s">
        <v>2400</v>
      </c>
      <c r="N135" s="1406"/>
      <c r="S135" s="609"/>
    </row>
    <row r="136" spans="2:19" ht="15" thickBot="1">
      <c r="B136" s="610"/>
      <c r="C136" s="611"/>
      <c r="D136" s="611"/>
      <c r="E136" s="611"/>
      <c r="F136" s="611"/>
      <c r="G136" s="611"/>
      <c r="H136" s="611"/>
      <c r="I136" s="611"/>
      <c r="J136" s="611"/>
      <c r="K136" s="611"/>
      <c r="L136" s="611"/>
      <c r="M136" s="611"/>
      <c r="N136" s="611"/>
      <c r="O136" s="611"/>
      <c r="P136" s="611"/>
      <c r="Q136" s="611"/>
      <c r="R136" s="611"/>
      <c r="S136" s="612"/>
    </row>
  </sheetData>
  <mergeCells count="74">
    <mergeCell ref="F15:I15"/>
    <mergeCell ref="K15:L15"/>
    <mergeCell ref="A2:AA2"/>
    <mergeCell ref="O4:P4"/>
    <mergeCell ref="F6:G6"/>
    <mergeCell ref="O6:P6"/>
    <mergeCell ref="F9:G9"/>
    <mergeCell ref="K9:L9"/>
    <mergeCell ref="O10:Q10"/>
    <mergeCell ref="B12:D13"/>
    <mergeCell ref="F12:G12"/>
    <mergeCell ref="K12:L12"/>
    <mergeCell ref="T13:V13"/>
    <mergeCell ref="F18:G18"/>
    <mergeCell ref="K18:M18"/>
    <mergeCell ref="T18:X18"/>
    <mergeCell ref="F21:G21"/>
    <mergeCell ref="O21:Q21"/>
    <mergeCell ref="T21:X21"/>
    <mergeCell ref="K51:M51"/>
    <mergeCell ref="O26:P26"/>
    <mergeCell ref="O29:P29"/>
    <mergeCell ref="A36:AA36"/>
    <mergeCell ref="C40:H42"/>
    <mergeCell ref="K41:M41"/>
    <mergeCell ref="O41:R41"/>
    <mergeCell ref="K44:M44"/>
    <mergeCell ref="O44:R44"/>
    <mergeCell ref="C45:D45"/>
    <mergeCell ref="G45:H45"/>
    <mergeCell ref="K47:M47"/>
    <mergeCell ref="M75:N75"/>
    <mergeCell ref="M55:N55"/>
    <mergeCell ref="C60:H62"/>
    <mergeCell ref="K61:M61"/>
    <mergeCell ref="O61:R61"/>
    <mergeCell ref="K64:M64"/>
    <mergeCell ref="O64:R64"/>
    <mergeCell ref="C65:D65"/>
    <mergeCell ref="G65:H65"/>
    <mergeCell ref="K67:M67"/>
    <mergeCell ref="K70:M70"/>
    <mergeCell ref="K73:M73"/>
    <mergeCell ref="K81:M81"/>
    <mergeCell ref="O81:R81"/>
    <mergeCell ref="K84:M84"/>
    <mergeCell ref="O84:R84"/>
    <mergeCell ref="C85:D85"/>
    <mergeCell ref="G85:H85"/>
    <mergeCell ref="C105:D105"/>
    <mergeCell ref="G105:H105"/>
    <mergeCell ref="K107:M107"/>
    <mergeCell ref="K87:M87"/>
    <mergeCell ref="G89:I89"/>
    <mergeCell ref="K89:M89"/>
    <mergeCell ref="M95:N95"/>
    <mergeCell ref="C100:H102"/>
    <mergeCell ref="K101:M101"/>
    <mergeCell ref="O121:R121"/>
    <mergeCell ref="K124:M124"/>
    <mergeCell ref="O124:R124"/>
    <mergeCell ref="O101:R101"/>
    <mergeCell ref="K104:M104"/>
    <mergeCell ref="O104:R104"/>
    <mergeCell ref="M135:N135"/>
    <mergeCell ref="K110:M110"/>
    <mergeCell ref="K113:M113"/>
    <mergeCell ref="M115:N115"/>
    <mergeCell ref="K121:M121"/>
    <mergeCell ref="C125:D125"/>
    <mergeCell ref="G125:H125"/>
    <mergeCell ref="K127:M127"/>
    <mergeCell ref="K130:M130"/>
    <mergeCell ref="K133:M133"/>
  </mergeCells>
  <hyperlinks>
    <hyperlink ref="G45:H45" location="'Atm õhu kaitse määrus'!A45" display="Väljaheidete N" xr:uid="{90417430-7D73-47BC-AB93-E95EC2C8813B}"/>
    <hyperlink ref="K41:M41" location="'Atm õhu kaitse määrus'!A66" display="Loomakasvatushoone NH3" xr:uid="{B9D92C42-080F-4A81-B09C-824146155A65}"/>
    <hyperlink ref="K44:M44" location="'Atm õhu kaitse määrus'!A86" display="Sõnnikuhoidla NH3" xr:uid="{6DCEC3F0-AD8A-4527-8E80-738443C216E1}"/>
    <hyperlink ref="K47:M47" location="'Atm õhu kaitse määrus'!A106" display="Sõnnikuhoidla otsene N2O" xr:uid="{6A7CF52F-96E9-4CCA-BA72-B1EA54DB4950}"/>
    <hyperlink ref="K51:M51" location="'Atm õhu kaitse määrus'!A97" display="Sõnnikuhoidla CH4" xr:uid="{54277895-F0EC-43E0-B287-B0A493FE3D2D}"/>
    <hyperlink ref="O41:R41" location="'Atm õhu kaitse määrus'!A116" display="Loomakasvatushoone kaudne N2O" xr:uid="{D413E15D-8D6A-4CF7-99FB-B8DEF99481D9}"/>
    <hyperlink ref="O44:R44" location="'Atm õhu kaitse määrus'!A125" display="Sõnnikuhoidla kaudne N2O" xr:uid="{E3D5A39B-8982-4621-ACB5-3165CF583CB5}"/>
    <hyperlink ref="G65:H65" location="'Atm õhu kaitse määrus'!J5" display="Väljaheidete N" xr:uid="{EECE344E-4842-43FF-8047-D5882E7198EC}"/>
    <hyperlink ref="K61:M61" location="'Atm õhu kaitse määrus'!A66" display="Loomakasvatushoone NH3" xr:uid="{8CA2FCE0-05A0-431B-84A8-563FA2AB5D64}"/>
    <hyperlink ref="K64:M64" location="'Atm õhu kaitse määrus'!A86" display="Sõnnikuhoidla NH3" xr:uid="{96C4E244-4A39-4E1B-B46B-1406F510F52E}"/>
    <hyperlink ref="K67:M67" location="'Atm õhu kaitse määrus'!A106" display="Sõnnikuhoidla otsene N2O" xr:uid="{00CBF975-F764-4255-8717-DA5B066AE37A}"/>
    <hyperlink ref="K70:M70" location="'Atm õhu kaitse määrus'!A97" display="Sõnnikuhoidla CH4" xr:uid="{0DDAC6C2-F994-4C02-A1E0-5BE69D08B355}"/>
    <hyperlink ref="O61:R61" location="'Atm õhu kaitse määrus'!A116" display="Loomakasvatushoone kaudne N2O" xr:uid="{DA2F8D32-0C4F-4A4F-9D20-88868C85D2C1}"/>
    <hyperlink ref="O64:R64" location="'Atm õhu kaitse määrus'!A125" display="Sõnnikuhoidla kaudne N2O" xr:uid="{21EEF68B-37D3-4EB0-A1C9-FB71654B7E8F}"/>
    <hyperlink ref="K73:M73" location="'Atm õhu kaitse määrus'!A75" display="Loomade seedemetaan" xr:uid="{8854F7B4-9081-40AD-B854-F3B27A238695}"/>
    <hyperlink ref="G85:H85" location="'Part, kalkun'!A29" display="Väljaheidete N" xr:uid="{53893BDE-9C0F-4930-BC78-40ECCA370F71}"/>
    <hyperlink ref="G89:I89" location="'Part, kalkun'!A38" display="Väljaheidete orgaanika" xr:uid="{19704F10-A9FC-4104-A152-263EA59EFE63}"/>
    <hyperlink ref="K89:M89" location="'Part, kalkun'!A48" display="Sõnnikukäitluse CH4" xr:uid="{0B1416A0-2CD3-4F19-859D-C54EAAEFC56A}"/>
    <hyperlink ref="K87:M87" location="'Part, kalkun'!A59" display="Sõnnikuhoidla otsene N2O" xr:uid="{73868E73-0829-470F-A6FA-9B4A2B66777A}"/>
    <hyperlink ref="K84:M84" location="'Part, kalkun'!A73" display="Sõnnikukäitluse NH3" xr:uid="{7C6905DD-1EA9-448F-81F8-4DB242874566}"/>
    <hyperlink ref="O84:R84" location="'Part, kalkun'!A83" display="Sõnnikuhoidla kaudne N2O" xr:uid="{D1921ADC-5553-4209-B621-265E35BC56C6}"/>
    <hyperlink ref="G105:H105" location="'Atm õhu kaitse määrus'!A39" display="Väljaheidete N" xr:uid="{A705DDE2-328E-4143-96A9-775EA5750C17}"/>
    <hyperlink ref="K101:M101" location="'Atm õhu kaitse määrus'!A66" display="Loomakasvatushoone NH3" xr:uid="{8924D4C7-ED6D-4AD0-B2DE-3818887584A8}"/>
    <hyperlink ref="K104:M104" location="'Atm õhu kaitse määrus'!A86" display="Sõnnikuhoidla NH3" xr:uid="{DCE9D847-C561-4947-AD25-4E9871E6A912}"/>
    <hyperlink ref="K107:M107" location="'Atm õhu kaitse määrus'!A106" display="Sõnnikuhoidla otsene N2O" xr:uid="{FA2B250E-CD1B-48C5-88C5-5E749E2B2635}"/>
    <hyperlink ref="K110:M110" location="'Atm õhu kaitse määrus'!A97" display="Sõnnikuhoidla CH4" xr:uid="{0223811A-6ECC-46C0-85CB-2EE3B82ED3B4}"/>
    <hyperlink ref="O101:R101" location="'Atm õhu kaitse määrus'!A116" display="Loomakasvatushoone kaudne N2O" xr:uid="{9769517C-4B19-4E03-AFE5-5EC604D6F92A}"/>
    <hyperlink ref="O104:R104" location="'Atm õhu kaitse määrus'!A125" display="Sõnnikuhoidla kaudne N2O" xr:uid="{739E934F-5D22-4BB7-9A93-2D06F1A9350B}"/>
    <hyperlink ref="K113:M113" location="'Atm õhu kaitse määrus'!A75" display="Loomade seedemetaan" xr:uid="{0B0590FF-3522-498C-85A2-797119CADE95}"/>
    <hyperlink ref="G125:H125" location="Lambad!A147" display="Väljaheidete N" xr:uid="{E2C89607-C1DD-4FE2-B3C7-C595A1934C52}"/>
    <hyperlink ref="K124:M124" location="Lambad!A171" display="Sõnnikukäitluse NH3" xr:uid="{A5F8C8A2-D737-4FFE-9EC8-EF8B7BAAE257}"/>
    <hyperlink ref="O124:R124" location="Lambad!A181" display="Sõnnikukäitluse kaudne N2O" xr:uid="{69C738C9-9953-4B38-9341-36A866681671}"/>
    <hyperlink ref="K127:M127" location="Lambad!A156" display="Sõnnikukäitluse otsene N2O" xr:uid="{C5F90841-DE36-422A-8899-E050596CF1BE}"/>
    <hyperlink ref="K130:M130" location="Lambad!A127" display="Sõnnikukäitluse CH4" xr:uid="{E7BC82BC-1142-466D-A93B-D3CBF38207A5}"/>
    <hyperlink ref="K133:M133" location="Lambad!A119" display="Loomade seedemetaan" xr:uid="{083C6A60-E5DC-413E-8BFB-278B755B8618}"/>
    <hyperlink ref="O4:P4" location="Turvasmullad!B3" display="CO2 emissioonid" xr:uid="{58FEF01A-1B7F-4CFA-A1CB-119CF57C225F}"/>
    <hyperlink ref="O6:P6" location="'Otsesed N2O emissioonid'!A17" display="N2O emissioonid" xr:uid="{DFFB715B-BE03-4CBC-B025-E62A28D5AA78}"/>
    <hyperlink ref="K12:L12" location="'Otsesed N2O emissioonid'!K7" display="Põllule viidud N kogus" xr:uid="{15C14420-5E0B-4B7A-A7CA-7FCE23A6B3E5}"/>
    <hyperlink ref="K15:L15" location="'Otsesed N2O emissioonid'!A11:A13" display="Põllule jäetud N kogus" xr:uid="{DBE6B02E-B734-433B-9BF4-91C113AA8C0F}"/>
    <hyperlink ref="K18" location="'Otsesed N2O emissioonid'!A26:A27" display="Põllule/karjamaale jäetud N kogus" xr:uid="{6B0589A6-32D8-42E4-9845-C3FC9998E684}"/>
    <hyperlink ref="O10:Q10" location="'Otsesed N2O emissioonid'!A7" display="Otsene N2O heide sisenditest" xr:uid="{5D285685-9B5A-438D-8CB6-87EAE1FA8242}"/>
    <hyperlink ref="O21:Q21" location="'Otsesed N2O emissioonid'!A24" display="Otsene N2O heide karjatamisest" xr:uid="{5934DE89-A1B8-45B4-A031-0BB80E0B9A57}"/>
    <hyperlink ref="T13:U13" location="'Otsesed N2O emissioonid'!A3" display="Otsene N2O heide" xr:uid="{BB41BDE7-39F2-4A0C-92A5-299557DC1883}"/>
    <hyperlink ref="T18:X18" location="Indirect!A2" display="Kaudne N2O heide N lendumisest NH3 ja NOx-na" xr:uid="{079EA8F6-3AAF-4AD6-AE4B-587A79E85388}"/>
    <hyperlink ref="T21:X21" location="Indirect!A12" display="Kaudne N2O heide N leostumisest või väljauhtumisest" xr:uid="{F926889D-6AF5-4E26-971E-32B3E8306B73}"/>
    <hyperlink ref="O26:P26" location="Uurea!A2" display="CO2 emissioonid" xr:uid="{DDAD87C4-9E8A-412C-B8ED-07EE1B72B0FB}"/>
    <hyperlink ref="O29:P29" location="Lupjamine!A3" display="CO2 emissioonid" xr:uid="{1A9FE866-A1F6-43EE-9BFF-98DE11BD7A6C}"/>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71ED3-41F7-439F-BB33-FDCFDCBD9AC1}">
  <dimension ref="B1:AI253"/>
  <sheetViews>
    <sheetView topLeftCell="A73" zoomScale="70" zoomScaleNormal="70" workbookViewId="0">
      <selection activeCell="B2" sqref="B2"/>
    </sheetView>
  </sheetViews>
  <sheetFormatPr defaultColWidth="8.81640625" defaultRowHeight="14.5"/>
  <cols>
    <col min="2" max="2" width="17.81640625" customWidth="1"/>
    <col min="10" max="10" width="11.453125" customWidth="1"/>
    <col min="12" max="12" width="56.1796875" customWidth="1"/>
    <col min="13" max="17" width="20.453125" customWidth="1"/>
    <col min="18" max="18" width="20" customWidth="1"/>
    <col min="19" max="19" width="12.453125" customWidth="1"/>
    <col min="21" max="21" width="47.54296875" customWidth="1"/>
    <col min="22" max="22" width="47.81640625" customWidth="1"/>
    <col min="23" max="26" width="12.81640625" customWidth="1"/>
    <col min="27" max="27" width="18.453125" customWidth="1"/>
    <col min="29" max="29" width="14" customWidth="1"/>
    <col min="30" max="34" width="14.453125" customWidth="1"/>
    <col min="35" max="35" width="18.1796875" customWidth="1"/>
  </cols>
  <sheetData>
    <row r="1" spans="2:27" ht="23.5">
      <c r="B1" s="1427" t="s">
        <v>2517</v>
      </c>
      <c r="C1" s="1427"/>
      <c r="D1" s="1427"/>
      <c r="E1" s="1427"/>
      <c r="F1" s="1427"/>
      <c r="G1" s="1427"/>
      <c r="H1" s="1427"/>
      <c r="I1" s="1427"/>
      <c r="J1" s="1427"/>
      <c r="K1" s="1427"/>
      <c r="L1" s="1427"/>
      <c r="M1" s="1427"/>
      <c r="N1" s="1427"/>
      <c r="O1" s="1427"/>
      <c r="P1" s="1427"/>
      <c r="Q1" s="1427"/>
      <c r="R1" s="1427"/>
      <c r="S1" s="1427"/>
      <c r="T1" s="1427"/>
    </row>
    <row r="2" spans="2:27" ht="15" thickBot="1"/>
    <row r="3" spans="2:27" ht="15" thickBot="1">
      <c r="B3" s="1340" t="s">
        <v>1457</v>
      </c>
      <c r="C3" s="1350"/>
      <c r="D3" s="1350"/>
      <c r="E3" s="1350"/>
      <c r="F3" s="1350"/>
      <c r="G3" s="1350"/>
      <c r="H3" s="1350"/>
      <c r="I3" s="1350"/>
      <c r="J3" s="1350"/>
      <c r="K3" s="1350"/>
      <c r="L3" s="1350"/>
      <c r="M3" s="1350"/>
      <c r="N3" s="1350"/>
      <c r="O3" s="1350"/>
      <c r="P3" s="1350"/>
      <c r="Q3" s="1350"/>
      <c r="R3" s="1350"/>
      <c r="S3" s="1351"/>
    </row>
    <row r="4" spans="2:27" ht="15" thickBot="1">
      <c r="B4" s="1340" t="s">
        <v>857</v>
      </c>
      <c r="C4" s="1350"/>
      <c r="D4" s="1350"/>
      <c r="E4" s="1350"/>
      <c r="F4" s="1350"/>
      <c r="G4" s="1350"/>
      <c r="H4" s="1350"/>
      <c r="I4" s="1351"/>
      <c r="J4" s="1340" t="s">
        <v>751</v>
      </c>
      <c r="K4" s="1350"/>
      <c r="L4" s="1350"/>
      <c r="M4" s="1350"/>
      <c r="N4" s="1350"/>
      <c r="O4" s="1350"/>
      <c r="P4" s="1350"/>
      <c r="Q4" s="1350"/>
      <c r="R4" s="1350"/>
      <c r="S4" s="1351"/>
      <c r="U4" s="1344" t="s">
        <v>1458</v>
      </c>
      <c r="V4" s="1349"/>
      <c r="W4" s="1349"/>
      <c r="X4" s="1349"/>
      <c r="Y4" s="1349"/>
      <c r="Z4" s="1349"/>
      <c r="AA4" s="1376"/>
    </row>
    <row r="5" spans="2:27">
      <c r="B5" s="20"/>
      <c r="I5" s="21"/>
      <c r="J5" s="15"/>
      <c r="K5" s="16"/>
      <c r="L5" s="16"/>
      <c r="M5" s="16"/>
      <c r="N5" s="16"/>
      <c r="O5" s="16"/>
      <c r="P5" s="16"/>
      <c r="Q5" s="16"/>
      <c r="R5" s="16"/>
      <c r="S5" s="17"/>
      <c r="U5" s="20"/>
      <c r="AA5" s="21"/>
    </row>
    <row r="6" spans="2:27">
      <c r="B6" s="20" t="s">
        <v>728</v>
      </c>
      <c r="I6" s="21"/>
      <c r="J6" s="20"/>
      <c r="K6" t="s">
        <v>754</v>
      </c>
      <c r="S6" s="21"/>
      <c r="U6" s="20"/>
      <c r="V6" s="1" t="s">
        <v>1459</v>
      </c>
      <c r="W6" s="1" t="s">
        <v>1460</v>
      </c>
      <c r="AA6" s="21"/>
    </row>
    <row r="7" spans="2:27">
      <c r="B7" s="20"/>
      <c r="I7" s="21"/>
      <c r="J7" s="20"/>
      <c r="S7" s="21"/>
      <c r="U7" s="20" t="s">
        <v>1461</v>
      </c>
      <c r="V7">
        <v>25.6</v>
      </c>
      <c r="W7">
        <v>29.6</v>
      </c>
      <c r="AA7" s="21"/>
    </row>
    <row r="8" spans="2:27">
      <c r="B8" s="20" t="s">
        <v>729</v>
      </c>
      <c r="I8" s="21"/>
      <c r="J8" s="20"/>
      <c r="K8" t="s">
        <v>742</v>
      </c>
      <c r="L8" t="s">
        <v>867</v>
      </c>
      <c r="S8" s="21"/>
      <c r="U8" s="20" t="s">
        <v>1462</v>
      </c>
      <c r="V8">
        <v>21.2</v>
      </c>
      <c r="AA8" s="21"/>
    </row>
    <row r="9" spans="2:27">
      <c r="B9" s="20"/>
      <c r="I9" s="21"/>
      <c r="J9" s="20"/>
      <c r="K9" s="33" t="s">
        <v>446</v>
      </c>
      <c r="L9" s="33" t="s">
        <v>1463</v>
      </c>
      <c r="S9" s="21"/>
      <c r="U9" s="20" t="s">
        <v>1464</v>
      </c>
      <c r="V9">
        <v>28.5</v>
      </c>
      <c r="AA9" s="21"/>
    </row>
    <row r="10" spans="2:27">
      <c r="B10" s="20" t="s">
        <v>731</v>
      </c>
      <c r="C10" t="s">
        <v>858</v>
      </c>
      <c r="I10" s="21"/>
      <c r="J10" s="20"/>
      <c r="K10" s="613" t="s">
        <v>756</v>
      </c>
      <c r="L10" t="s">
        <v>1465</v>
      </c>
      <c r="S10" s="21"/>
      <c r="U10" s="20" t="s">
        <v>1466</v>
      </c>
      <c r="V10">
        <v>25</v>
      </c>
      <c r="AA10" s="21"/>
    </row>
    <row r="11" spans="2:27">
      <c r="B11" s="32" t="s">
        <v>734</v>
      </c>
      <c r="C11" s="33" t="s">
        <v>859</v>
      </c>
      <c r="D11" s="33"/>
      <c r="E11" s="33"/>
      <c r="F11" s="33"/>
      <c r="I11" s="21"/>
      <c r="J11" s="20"/>
      <c r="S11" s="21"/>
      <c r="U11" s="20" t="s">
        <v>270</v>
      </c>
      <c r="V11">
        <v>26</v>
      </c>
      <c r="AA11" s="21"/>
    </row>
    <row r="12" spans="2:27" ht="15" thickBot="1">
      <c r="B12" s="32" t="s">
        <v>737</v>
      </c>
      <c r="C12" s="33" t="s">
        <v>860</v>
      </c>
      <c r="D12" s="33"/>
      <c r="E12" s="33"/>
      <c r="F12" s="33"/>
      <c r="I12" s="21"/>
      <c r="J12" s="58"/>
      <c r="K12" s="36"/>
      <c r="L12" s="36"/>
      <c r="M12" s="36"/>
      <c r="N12" s="36"/>
      <c r="O12" s="36"/>
      <c r="P12" s="36"/>
      <c r="Q12" s="36"/>
      <c r="R12" s="36"/>
      <c r="S12" s="37"/>
      <c r="U12" s="58" t="s">
        <v>269</v>
      </c>
      <c r="V12" s="36">
        <v>26</v>
      </c>
      <c r="W12" s="36"/>
      <c r="X12" s="36"/>
      <c r="Y12" s="36"/>
      <c r="Z12" s="36"/>
      <c r="AA12" s="37"/>
    </row>
    <row r="13" spans="2:27" ht="15" thickBot="1">
      <c r="B13" s="20"/>
      <c r="I13" s="21"/>
    </row>
    <row r="14" spans="2:27">
      <c r="B14" s="20" t="s">
        <v>827</v>
      </c>
      <c r="I14" s="21"/>
      <c r="U14" s="15" t="s">
        <v>1467</v>
      </c>
      <c r="V14" s="16"/>
      <c r="W14" s="16"/>
      <c r="X14" s="16"/>
      <c r="Y14" s="16"/>
      <c r="Z14" s="16"/>
      <c r="AA14" s="17"/>
    </row>
    <row r="15" spans="2:27">
      <c r="B15" s="20"/>
      <c r="I15" s="21"/>
      <c r="U15" s="20"/>
      <c r="AA15" s="21"/>
    </row>
    <row r="16" spans="2:27">
      <c r="B16" s="20" t="s">
        <v>828</v>
      </c>
      <c r="I16" s="21"/>
      <c r="U16" s="20" t="s">
        <v>1468</v>
      </c>
      <c r="V16" t="s">
        <v>1469</v>
      </c>
      <c r="AA16" s="21"/>
    </row>
    <row r="17" spans="2:27" ht="15" thickBot="1">
      <c r="B17" s="20"/>
      <c r="I17" s="113"/>
      <c r="J17" s="31"/>
      <c r="K17" s="31"/>
      <c r="L17" s="31"/>
      <c r="M17" s="31"/>
      <c r="N17" s="31"/>
      <c r="O17" s="31"/>
      <c r="U17" s="20" t="s">
        <v>187</v>
      </c>
      <c r="V17" s="1377">
        <v>76.8</v>
      </c>
      <c r="W17" s="1377"/>
      <c r="X17" s="1377"/>
      <c r="Y17" s="1377"/>
      <c r="Z17" s="1377"/>
      <c r="AA17" s="1378"/>
    </row>
    <row r="18" spans="2:27">
      <c r="B18" s="20" t="s">
        <v>829</v>
      </c>
      <c r="C18" t="s">
        <v>1470</v>
      </c>
      <c r="I18" s="614"/>
      <c r="J18" s="31"/>
      <c r="K18" s="31"/>
      <c r="L18" s="1343" t="s">
        <v>811</v>
      </c>
      <c r="M18" s="1381"/>
      <c r="N18" s="1381"/>
      <c r="O18" s="1381"/>
      <c r="P18" s="1381"/>
      <c r="Q18" s="1382"/>
      <c r="U18" s="20" t="s">
        <v>188</v>
      </c>
      <c r="V18" s="1377">
        <v>92.1</v>
      </c>
      <c r="W18" s="1377"/>
      <c r="X18" s="1377"/>
      <c r="Y18" s="1377"/>
      <c r="Z18" s="1377"/>
      <c r="AA18" s="1378"/>
    </row>
    <row r="19" spans="2:27">
      <c r="B19" s="32" t="s">
        <v>831</v>
      </c>
      <c r="C19" s="33" t="s">
        <v>1471</v>
      </c>
      <c r="D19" s="33"/>
      <c r="E19" s="33"/>
      <c r="I19" s="614"/>
      <c r="J19" s="31"/>
      <c r="K19" s="31"/>
      <c r="L19" s="115"/>
      <c r="M19" s="31"/>
      <c r="N19" s="31"/>
      <c r="O19" s="31"/>
      <c r="Q19" s="21"/>
      <c r="U19" s="20" t="s">
        <v>189</v>
      </c>
      <c r="V19" s="1377">
        <v>107.5</v>
      </c>
      <c r="W19" s="1377"/>
      <c r="X19" s="1377"/>
      <c r="Y19" s="1377"/>
      <c r="Z19" s="1377"/>
      <c r="AA19" s="1378"/>
    </row>
    <row r="20" spans="2:27" ht="15" thickBot="1">
      <c r="B20" s="32" t="s">
        <v>833</v>
      </c>
      <c r="C20" s="33" t="s">
        <v>1472</v>
      </c>
      <c r="D20" s="33"/>
      <c r="E20" s="33"/>
      <c r="I20" s="614"/>
      <c r="J20" s="31"/>
      <c r="K20" s="31"/>
      <c r="L20" s="86" t="s">
        <v>813</v>
      </c>
      <c r="M20" s="116"/>
      <c r="N20" s="116"/>
      <c r="O20" s="87"/>
      <c r="P20" s="87"/>
      <c r="Q20" s="37"/>
      <c r="U20" s="20" t="s">
        <v>190</v>
      </c>
      <c r="V20" s="1377">
        <v>122.9</v>
      </c>
      <c r="W20" s="1377"/>
      <c r="X20" s="1377"/>
      <c r="Y20" s="1377"/>
      <c r="Z20" s="1377"/>
      <c r="AA20" s="1378"/>
    </row>
    <row r="21" spans="2:27">
      <c r="B21" s="20"/>
      <c r="I21" s="614"/>
      <c r="J21" s="31"/>
      <c r="K21" s="31"/>
      <c r="L21" s="31"/>
      <c r="M21" s="117"/>
      <c r="N21" s="117"/>
      <c r="O21" s="31"/>
      <c r="U21" s="20" t="s">
        <v>191</v>
      </c>
      <c r="V21" s="1377">
        <v>138.19999999999999</v>
      </c>
      <c r="W21" s="1377"/>
      <c r="X21" s="1377"/>
      <c r="Y21" s="1377"/>
      <c r="Z21" s="1377"/>
      <c r="AA21" s="1378"/>
    </row>
    <row r="22" spans="2:27">
      <c r="B22" s="20" t="s">
        <v>835</v>
      </c>
      <c r="I22" s="614"/>
      <c r="J22" s="31"/>
      <c r="K22" s="31"/>
      <c r="L22" s="31"/>
      <c r="M22" s="117"/>
      <c r="N22" s="117"/>
      <c r="O22" s="31"/>
      <c r="U22" s="20" t="s">
        <v>192</v>
      </c>
      <c r="V22" s="1377">
        <v>153.6</v>
      </c>
      <c r="W22" s="1377"/>
      <c r="X22" s="1377"/>
      <c r="Y22" s="1377"/>
      <c r="Z22" s="1377"/>
      <c r="AA22" s="1378"/>
    </row>
    <row r="23" spans="2:27">
      <c r="B23" s="20"/>
      <c r="I23" s="614"/>
      <c r="J23" s="31"/>
      <c r="K23" s="31"/>
      <c r="L23" s="31"/>
      <c r="M23" s="31"/>
      <c r="N23" s="31"/>
      <c r="O23" s="31"/>
      <c r="U23" s="20" t="s">
        <v>1473</v>
      </c>
      <c r="V23" s="1377">
        <v>72.400000000000006</v>
      </c>
      <c r="W23" s="1377"/>
      <c r="X23" s="1377"/>
      <c r="Y23" s="1377"/>
      <c r="Z23" s="1377"/>
      <c r="AA23" s="1378"/>
    </row>
    <row r="24" spans="2:27">
      <c r="B24" s="20" t="s">
        <v>836</v>
      </c>
      <c r="I24" s="118"/>
      <c r="J24" s="31"/>
      <c r="K24" s="31"/>
      <c r="L24" s="31"/>
      <c r="M24" s="31"/>
      <c r="N24" s="31"/>
      <c r="O24" s="31"/>
      <c r="U24" s="20" t="s">
        <v>195</v>
      </c>
      <c r="V24" s="1377">
        <v>34.200000000000003</v>
      </c>
      <c r="W24" s="1377"/>
      <c r="X24" s="1377"/>
      <c r="Y24" s="1377"/>
      <c r="Z24" s="1377"/>
      <c r="AA24" s="1378"/>
    </row>
    <row r="25" spans="2:27">
      <c r="B25" s="20"/>
      <c r="I25" s="21"/>
      <c r="N25" s="119"/>
      <c r="U25" s="20" t="s">
        <v>196</v>
      </c>
      <c r="V25" s="1377">
        <v>27.8</v>
      </c>
      <c r="W25" s="1377"/>
      <c r="X25" s="1377"/>
      <c r="Y25" s="1377"/>
      <c r="Z25" s="1377"/>
      <c r="AA25" s="1378"/>
    </row>
    <row r="26" spans="2:27">
      <c r="B26" s="20" t="s">
        <v>837</v>
      </c>
      <c r="C26" t="s">
        <v>861</v>
      </c>
      <c r="I26" s="21"/>
      <c r="U26" s="20" t="s">
        <v>197</v>
      </c>
      <c r="V26" s="1377">
        <v>58.1</v>
      </c>
      <c r="W26" s="1377"/>
      <c r="X26" s="1377"/>
      <c r="Y26" s="1377"/>
      <c r="Z26" s="1377"/>
      <c r="AA26" s="1378"/>
    </row>
    <row r="27" spans="2:27">
      <c r="B27" s="615" t="s">
        <v>839</v>
      </c>
      <c r="C27" t="s">
        <v>862</v>
      </c>
      <c r="G27" s="616"/>
      <c r="I27" s="21"/>
      <c r="N27" s="119"/>
      <c r="U27" s="20" t="s">
        <v>198</v>
      </c>
      <c r="V27" s="1377">
        <v>53.69</v>
      </c>
      <c r="W27" s="1377"/>
      <c r="X27" s="1377"/>
      <c r="Y27" s="1377"/>
      <c r="Z27" s="1377"/>
      <c r="AA27" s="1378"/>
    </row>
    <row r="28" spans="2:27">
      <c r="B28" s="32" t="s">
        <v>748</v>
      </c>
      <c r="C28" s="33" t="s">
        <v>863</v>
      </c>
      <c r="D28" s="33"/>
      <c r="E28" s="33"/>
      <c r="I28" s="21"/>
      <c r="U28" s="20" t="s">
        <v>269</v>
      </c>
      <c r="V28" s="1377">
        <v>10.56</v>
      </c>
      <c r="W28" s="1377"/>
      <c r="X28" s="1377"/>
      <c r="Y28" s="1377"/>
      <c r="Z28" s="1377"/>
      <c r="AA28" s="1378"/>
    </row>
    <row r="29" spans="2:27">
      <c r="B29" s="20"/>
      <c r="I29" s="21"/>
      <c r="U29" s="20" t="s">
        <v>270</v>
      </c>
      <c r="V29" s="1377">
        <v>4.4800000000000004</v>
      </c>
      <c r="W29" s="1377"/>
      <c r="X29" s="1377"/>
      <c r="Y29" s="1377"/>
      <c r="Z29" s="1377"/>
      <c r="AA29" s="1378"/>
    </row>
    <row r="30" spans="2:27">
      <c r="B30" s="20" t="s">
        <v>842</v>
      </c>
      <c r="I30" s="21"/>
      <c r="U30" s="20" t="s">
        <v>1474</v>
      </c>
      <c r="V30" s="1377">
        <v>25.1</v>
      </c>
      <c r="W30" s="1377"/>
      <c r="X30" s="1377"/>
      <c r="Y30" s="1377"/>
      <c r="Z30" s="1377"/>
      <c r="AA30" s="1378"/>
    </row>
    <row r="31" spans="2:27">
      <c r="B31" s="20"/>
      <c r="I31" s="21"/>
      <c r="U31" s="20" t="s">
        <v>1475</v>
      </c>
      <c r="V31" s="1377">
        <v>16.07</v>
      </c>
      <c r="W31" s="1377"/>
      <c r="X31" s="1377"/>
      <c r="Y31" s="1377"/>
      <c r="Z31" s="1377"/>
      <c r="AA31" s="1378"/>
    </row>
    <row r="32" spans="2:27">
      <c r="B32" s="20" t="s">
        <v>843</v>
      </c>
      <c r="I32" s="21"/>
      <c r="U32" s="20" t="s">
        <v>643</v>
      </c>
      <c r="V32" s="1377">
        <v>0.69</v>
      </c>
      <c r="W32" s="1377"/>
      <c r="X32" s="1377"/>
      <c r="Y32" s="1377"/>
      <c r="Z32" s="1377"/>
      <c r="AA32" s="1378"/>
    </row>
    <row r="33" spans="2:27">
      <c r="B33" s="20"/>
      <c r="I33" s="21"/>
      <c r="U33" s="20" t="s">
        <v>315</v>
      </c>
      <c r="V33" s="1377">
        <v>0.49</v>
      </c>
      <c r="W33" s="1377"/>
      <c r="X33" s="1377"/>
      <c r="Y33" s="1377"/>
      <c r="Z33" s="1377"/>
      <c r="AA33" s="1378"/>
    </row>
    <row r="34" spans="2:27" ht="15" thickBot="1">
      <c r="B34" s="20" t="s">
        <v>844</v>
      </c>
      <c r="C34" t="s">
        <v>864</v>
      </c>
      <c r="I34" s="21"/>
      <c r="U34" s="58" t="s">
        <v>286</v>
      </c>
      <c r="V34" s="1379">
        <v>0.26</v>
      </c>
      <c r="W34" s="1379"/>
      <c r="X34" s="1379"/>
      <c r="Y34" s="1379"/>
      <c r="Z34" s="1379"/>
      <c r="AA34" s="1380"/>
    </row>
    <row r="35" spans="2:27">
      <c r="B35" s="615" t="s">
        <v>846</v>
      </c>
      <c r="C35" t="s">
        <v>865</v>
      </c>
      <c r="I35" s="21"/>
    </row>
    <row r="36" spans="2:27">
      <c r="B36" s="32" t="s">
        <v>848</v>
      </c>
      <c r="C36" s="33" t="s">
        <v>1476</v>
      </c>
      <c r="D36" s="33"/>
      <c r="E36" s="33"/>
      <c r="I36" s="21"/>
    </row>
    <row r="37" spans="2:27">
      <c r="B37" s="20"/>
      <c r="I37" s="21"/>
    </row>
    <row r="38" spans="2:27">
      <c r="B38" s="20" t="s">
        <v>850</v>
      </c>
      <c r="I38" s="21"/>
    </row>
    <row r="39" spans="2:27">
      <c r="B39" s="20"/>
      <c r="I39" s="21"/>
    </row>
    <row r="40" spans="2:27">
      <c r="B40" s="20" t="s">
        <v>851</v>
      </c>
      <c r="I40" s="21"/>
    </row>
    <row r="41" spans="2:27">
      <c r="B41" s="20"/>
      <c r="I41" s="21"/>
    </row>
    <row r="42" spans="2:27">
      <c r="B42" s="20" t="s">
        <v>742</v>
      </c>
      <c r="C42" t="s">
        <v>867</v>
      </c>
      <c r="I42" s="21"/>
    </row>
    <row r="43" spans="2:27">
      <c r="B43" s="20"/>
      <c r="I43" s="21"/>
    </row>
    <row r="44" spans="2:27">
      <c r="B44" s="20" t="s">
        <v>740</v>
      </c>
      <c r="I44" s="21"/>
    </row>
    <row r="45" spans="2:27">
      <c r="B45" s="20"/>
      <c r="I45" s="21"/>
    </row>
    <row r="46" spans="2:27">
      <c r="B46" s="20" t="s">
        <v>741</v>
      </c>
      <c r="I46" s="21"/>
    </row>
    <row r="47" spans="2:27">
      <c r="B47" s="20"/>
      <c r="I47" s="21"/>
    </row>
    <row r="48" spans="2:27">
      <c r="B48" s="20" t="s">
        <v>742</v>
      </c>
      <c r="C48" t="s">
        <v>867</v>
      </c>
      <c r="I48" s="21"/>
    </row>
    <row r="49" spans="2:35">
      <c r="B49" s="615" t="s">
        <v>731</v>
      </c>
      <c r="C49" t="s">
        <v>858</v>
      </c>
      <c r="I49" s="21"/>
    </row>
    <row r="50" spans="2:35">
      <c r="B50" s="32" t="s">
        <v>744</v>
      </c>
      <c r="C50" s="33" t="s">
        <v>1477</v>
      </c>
      <c r="D50" s="33"/>
      <c r="I50" s="21"/>
    </row>
    <row r="51" spans="2:35">
      <c r="B51" s="20">
        <v>1.8100000000000002E-2</v>
      </c>
      <c r="C51" t="s">
        <v>1478</v>
      </c>
      <c r="I51" s="21"/>
    </row>
    <row r="52" spans="2:35">
      <c r="B52" s="32" t="s">
        <v>748</v>
      </c>
      <c r="C52" s="33" t="s">
        <v>1479</v>
      </c>
      <c r="D52" s="33"/>
      <c r="E52" s="33"/>
    </row>
    <row r="53" spans="2:35" ht="15" thickBot="1">
      <c r="B53" s="58">
        <v>2.8799999999999999E-2</v>
      </c>
      <c r="C53" s="36" t="s">
        <v>1480</v>
      </c>
      <c r="D53" s="36"/>
      <c r="E53" s="36"/>
      <c r="F53" s="36"/>
      <c r="G53" s="36"/>
      <c r="H53" s="36"/>
      <c r="I53" s="36"/>
    </row>
    <row r="54" spans="2:35" ht="15" thickBot="1"/>
    <row r="55" spans="2:35" ht="15" thickBot="1">
      <c r="B55" s="1340" t="s">
        <v>759</v>
      </c>
      <c r="C55" s="1350"/>
      <c r="D55" s="1350"/>
      <c r="E55" s="1350"/>
      <c r="F55" s="1350"/>
      <c r="G55" s="1350"/>
      <c r="H55" s="1350"/>
      <c r="I55" s="1350"/>
      <c r="J55" s="1351"/>
      <c r="L55" s="1344" t="s">
        <v>1481</v>
      </c>
      <c r="M55" s="1349"/>
      <c r="N55" s="1349"/>
      <c r="O55" s="1349"/>
      <c r="P55" s="1349"/>
      <c r="Q55" s="1349"/>
      <c r="R55" s="1349"/>
      <c r="S55" s="1376"/>
      <c r="U55" s="1344" t="s">
        <v>1482</v>
      </c>
      <c r="V55" s="1349"/>
      <c r="W55" s="1349"/>
      <c r="X55" s="1349"/>
      <c r="Y55" s="1349"/>
      <c r="Z55" s="1349"/>
      <c r="AA55" s="1376"/>
      <c r="AC55" s="90" t="s">
        <v>1483</v>
      </c>
      <c r="AD55" s="82"/>
      <c r="AE55" s="82"/>
      <c r="AF55" s="82"/>
      <c r="AG55" s="82"/>
      <c r="AH55" s="82"/>
      <c r="AI55" s="84"/>
    </row>
    <row r="56" spans="2:35">
      <c r="B56" s="20"/>
      <c r="J56" s="21"/>
      <c r="L56" s="80"/>
      <c r="M56" s="1" t="s">
        <v>1484</v>
      </c>
      <c r="N56" s="1"/>
      <c r="O56" s="1"/>
      <c r="P56" s="1"/>
      <c r="Q56" s="1"/>
      <c r="R56" s="1" t="s">
        <v>1485</v>
      </c>
      <c r="S56" s="88"/>
      <c r="U56" s="80" t="s">
        <v>1486</v>
      </c>
      <c r="V56" s="1383" t="s">
        <v>1484</v>
      </c>
      <c r="W56" s="1383"/>
      <c r="X56" s="1383"/>
      <c r="Y56" s="1383"/>
      <c r="Z56" s="1383"/>
      <c r="AA56" s="121" t="s">
        <v>1485</v>
      </c>
      <c r="AC56" s="80" t="s">
        <v>1487</v>
      </c>
      <c r="AD56" s="1383" t="s">
        <v>1484</v>
      </c>
      <c r="AE56" s="1383"/>
      <c r="AF56" s="1383"/>
      <c r="AG56" s="1383"/>
      <c r="AH56" s="1383"/>
      <c r="AI56" s="88" t="s">
        <v>1485</v>
      </c>
    </row>
    <row r="57" spans="2:35">
      <c r="B57" s="20" t="s">
        <v>760</v>
      </c>
      <c r="J57" s="21"/>
      <c r="L57" s="1184" t="s">
        <v>1488</v>
      </c>
      <c r="M57" s="1377" t="s">
        <v>1489</v>
      </c>
      <c r="N57" s="1377"/>
      <c r="O57" s="1377"/>
      <c r="P57" s="1377"/>
      <c r="Q57" s="1377"/>
      <c r="R57">
        <v>5</v>
      </c>
      <c r="S57" s="21"/>
      <c r="U57" s="1371" t="s">
        <v>269</v>
      </c>
      <c r="V57" s="1377" t="s">
        <v>1490</v>
      </c>
      <c r="W57" s="1377"/>
      <c r="X57" s="1377"/>
      <c r="Y57" s="1377"/>
      <c r="Z57" s="1377"/>
      <c r="AA57" s="21">
        <v>30</v>
      </c>
      <c r="AC57" s="1184" t="s">
        <v>643</v>
      </c>
      <c r="AD57" s="1377" t="s">
        <v>1491</v>
      </c>
      <c r="AE57" s="1377"/>
      <c r="AF57" s="1377"/>
      <c r="AG57" s="1377"/>
      <c r="AH57" s="1377"/>
      <c r="AI57" s="21">
        <v>45</v>
      </c>
    </row>
    <row r="58" spans="2:35">
      <c r="B58" s="20"/>
      <c r="J58" s="21"/>
      <c r="L58" s="1184"/>
      <c r="M58" s="1377" t="s">
        <v>1492</v>
      </c>
      <c r="N58" s="1377"/>
      <c r="O58" s="1377"/>
      <c r="P58" s="1377"/>
      <c r="Q58" s="1377"/>
      <c r="R58">
        <v>4.5</v>
      </c>
      <c r="S58" s="21"/>
      <c r="U58" s="1371"/>
      <c r="V58" s="1377" t="s">
        <v>1493</v>
      </c>
      <c r="W58" s="1377"/>
      <c r="X58" s="1377"/>
      <c r="Y58" s="1377"/>
      <c r="Z58" s="1377"/>
      <c r="AA58" s="21">
        <v>15</v>
      </c>
      <c r="AC58" s="1184"/>
      <c r="AD58" s="1377" t="s">
        <v>288</v>
      </c>
      <c r="AE58" s="1377"/>
      <c r="AF58" s="1377"/>
      <c r="AG58" s="1377"/>
      <c r="AH58" s="1377"/>
      <c r="AI58" s="21">
        <v>10</v>
      </c>
    </row>
    <row r="59" spans="2:35">
      <c r="B59" s="20" t="s">
        <v>761</v>
      </c>
      <c r="J59" s="21"/>
      <c r="L59" s="1184"/>
      <c r="M59" s="1377" t="s">
        <v>1494</v>
      </c>
      <c r="N59" s="1377"/>
      <c r="O59" s="1377"/>
      <c r="P59" s="1377"/>
      <c r="Q59" s="1377"/>
      <c r="R59">
        <v>4</v>
      </c>
      <c r="S59" s="21"/>
      <c r="U59" s="1371"/>
      <c r="V59" s="1377" t="s">
        <v>1495</v>
      </c>
      <c r="W59" s="1377"/>
      <c r="X59" s="1377"/>
      <c r="Y59" s="1377"/>
      <c r="Z59" s="1377"/>
      <c r="AA59" s="21">
        <v>15</v>
      </c>
      <c r="AC59" s="1184"/>
      <c r="AD59" s="1377" t="s">
        <v>1496</v>
      </c>
      <c r="AE59" s="1377"/>
      <c r="AF59" s="1377"/>
      <c r="AG59" s="1377"/>
      <c r="AH59" s="1377"/>
      <c r="AI59" s="21">
        <v>4.3</v>
      </c>
    </row>
    <row r="60" spans="2:35">
      <c r="B60" s="20"/>
      <c r="J60" s="21"/>
      <c r="L60" s="1184"/>
      <c r="M60" s="1377" t="s">
        <v>1497</v>
      </c>
      <c r="N60" s="1377"/>
      <c r="O60" s="1377"/>
      <c r="P60" s="1377"/>
      <c r="Q60" s="1377"/>
      <c r="R60">
        <v>3.5</v>
      </c>
      <c r="S60" s="21"/>
      <c r="U60" s="1371"/>
      <c r="V60" s="1377" t="s">
        <v>1498</v>
      </c>
      <c r="W60" s="1377"/>
      <c r="X60" s="1377"/>
      <c r="Y60" s="1377"/>
      <c r="Z60" s="1377"/>
      <c r="AA60" s="21">
        <v>13</v>
      </c>
      <c r="AC60" s="1184"/>
      <c r="AD60" s="1377" t="s">
        <v>1499</v>
      </c>
      <c r="AE60" s="1377"/>
      <c r="AF60" s="1377"/>
      <c r="AG60" s="1377"/>
      <c r="AH60" s="1377"/>
      <c r="AI60" s="21">
        <v>2.5</v>
      </c>
    </row>
    <row r="61" spans="2:35">
      <c r="B61" s="32" t="s">
        <v>762</v>
      </c>
      <c r="C61" s="33" t="s">
        <v>763</v>
      </c>
      <c r="D61" s="33"/>
      <c r="J61" s="21"/>
      <c r="L61" s="1184"/>
      <c r="M61" s="1377" t="s">
        <v>1500</v>
      </c>
      <c r="N61" s="1377"/>
      <c r="O61" s="1377"/>
      <c r="P61" s="1377"/>
      <c r="Q61" s="1377"/>
      <c r="R61">
        <v>8</v>
      </c>
      <c r="S61" s="21"/>
      <c r="U61" s="1371"/>
      <c r="V61" s="1377" t="s">
        <v>1501</v>
      </c>
      <c r="W61" s="1377"/>
      <c r="X61" s="1377"/>
      <c r="Y61" s="1377"/>
      <c r="Z61" s="1377"/>
      <c r="AA61" s="21">
        <v>15</v>
      </c>
      <c r="AC61" s="1184"/>
      <c r="AD61" s="1377" t="s">
        <v>1502</v>
      </c>
      <c r="AE61" s="1377"/>
      <c r="AF61" s="1377"/>
      <c r="AG61" s="1377"/>
      <c r="AH61" s="1377"/>
      <c r="AI61" s="21">
        <v>4.3</v>
      </c>
    </row>
    <row r="62" spans="2:35">
      <c r="B62" s="32" t="s">
        <v>764</v>
      </c>
      <c r="C62" s="33" t="s">
        <v>765</v>
      </c>
      <c r="D62" s="33"/>
      <c r="J62" s="21"/>
      <c r="L62" s="1184"/>
      <c r="M62" s="1377" t="s">
        <v>1503</v>
      </c>
      <c r="N62" s="1377"/>
      <c r="O62" s="1377"/>
      <c r="P62" s="1377"/>
      <c r="Q62" s="1377"/>
      <c r="R62">
        <v>7.5</v>
      </c>
      <c r="S62" s="21"/>
      <c r="U62" s="1371"/>
      <c r="V62" s="1377" t="s">
        <v>1504</v>
      </c>
      <c r="W62" s="1377"/>
      <c r="X62" s="1377"/>
      <c r="Y62" s="1377"/>
      <c r="Z62" s="1377"/>
      <c r="AA62" s="21">
        <v>14</v>
      </c>
      <c r="AC62" s="1184"/>
      <c r="AD62" s="1377" t="s">
        <v>1505</v>
      </c>
      <c r="AE62" s="1377"/>
      <c r="AF62" s="1377"/>
      <c r="AG62" s="1377"/>
      <c r="AH62" s="1377"/>
      <c r="AI62" s="21">
        <v>5.5</v>
      </c>
    </row>
    <row r="63" spans="2:35">
      <c r="B63" s="32" t="s">
        <v>766</v>
      </c>
      <c r="C63" s="33" t="s">
        <v>767</v>
      </c>
      <c r="D63" s="33"/>
      <c r="J63" s="21"/>
      <c r="L63" s="1184"/>
      <c r="M63" s="1377" t="s">
        <v>208</v>
      </c>
      <c r="N63" s="1377"/>
      <c r="O63" s="1377"/>
      <c r="P63" s="1377"/>
      <c r="Q63" s="1377"/>
      <c r="R63">
        <v>10</v>
      </c>
      <c r="S63" s="21"/>
      <c r="U63" s="1371"/>
      <c r="V63" s="1377" t="s">
        <v>1506</v>
      </c>
      <c r="W63" s="1377"/>
      <c r="X63" s="1377"/>
      <c r="Y63" s="1377"/>
      <c r="Z63" s="1377"/>
      <c r="AA63" s="21">
        <v>14</v>
      </c>
      <c r="AC63" s="1184"/>
      <c r="AD63" s="1377" t="s">
        <v>289</v>
      </c>
      <c r="AE63" s="1377"/>
      <c r="AF63" s="1377"/>
      <c r="AG63" s="1377"/>
      <c r="AH63" s="1377"/>
      <c r="AI63" s="21">
        <v>39</v>
      </c>
    </row>
    <row r="64" spans="2:35">
      <c r="B64" s="20"/>
      <c r="J64" s="21"/>
      <c r="L64" s="1184"/>
      <c r="M64" s="1377" t="s">
        <v>1507</v>
      </c>
      <c r="N64" s="1377"/>
      <c r="O64" s="1377"/>
      <c r="P64" s="1377"/>
      <c r="Q64" s="1377"/>
      <c r="R64">
        <v>7.5</v>
      </c>
      <c r="S64" s="21"/>
      <c r="U64" s="1371"/>
      <c r="V64" s="1377" t="s">
        <v>1508</v>
      </c>
      <c r="W64" s="1377"/>
      <c r="X64" s="1377"/>
      <c r="Y64" s="1377"/>
      <c r="Z64" s="1377"/>
      <c r="AA64" s="21">
        <v>13</v>
      </c>
      <c r="AC64" s="1184"/>
      <c r="AD64" s="1377" t="s">
        <v>1509</v>
      </c>
      <c r="AE64" s="1377"/>
      <c r="AF64" s="1377"/>
      <c r="AG64" s="1377"/>
      <c r="AH64" s="1377"/>
      <c r="AI64" s="21">
        <v>15</v>
      </c>
    </row>
    <row r="65" spans="2:35">
      <c r="B65" s="20" t="s">
        <v>768</v>
      </c>
      <c r="J65" s="21"/>
      <c r="L65" s="1371" t="s">
        <v>1462</v>
      </c>
      <c r="M65" s="1377" t="s">
        <v>1507</v>
      </c>
      <c r="N65" s="1377"/>
      <c r="O65" s="1377"/>
      <c r="P65" s="1377"/>
      <c r="Q65" s="1377"/>
      <c r="R65">
        <v>5</v>
      </c>
      <c r="S65" s="21"/>
      <c r="U65" s="1371"/>
      <c r="V65" s="1377" t="s">
        <v>1510</v>
      </c>
      <c r="W65" s="1377"/>
      <c r="X65" s="1377"/>
      <c r="Y65" s="1377"/>
      <c r="Z65" s="1377"/>
      <c r="AA65" s="21">
        <v>15</v>
      </c>
      <c r="AC65" s="1184"/>
      <c r="AD65" s="1377" t="s">
        <v>1511</v>
      </c>
      <c r="AE65" s="1377"/>
      <c r="AF65" s="1377"/>
      <c r="AG65" s="1377"/>
      <c r="AH65" s="1377"/>
      <c r="AI65" s="21">
        <v>13.5</v>
      </c>
    </row>
    <row r="66" spans="2:35" ht="15" thickBot="1">
      <c r="B66" s="20"/>
      <c r="J66" s="21"/>
      <c r="L66" s="1375"/>
      <c r="M66" s="1379" t="s">
        <v>1512</v>
      </c>
      <c r="N66" s="1379"/>
      <c r="O66" s="1379"/>
      <c r="P66" s="1379"/>
      <c r="Q66" s="1379"/>
      <c r="R66" s="36">
        <v>7.5</v>
      </c>
      <c r="S66" s="37"/>
      <c r="U66" s="1371"/>
      <c r="V66" s="1377" t="s">
        <v>273</v>
      </c>
      <c r="W66" s="1377"/>
      <c r="X66" s="1377"/>
      <c r="Y66" s="1377"/>
      <c r="Z66" s="1377"/>
      <c r="AA66" s="21">
        <v>10</v>
      </c>
      <c r="AC66" s="1184"/>
      <c r="AD66" s="1377" t="s">
        <v>1513</v>
      </c>
      <c r="AE66" s="1377"/>
      <c r="AF66" s="1377"/>
      <c r="AG66" s="1377"/>
      <c r="AH66" s="1377"/>
      <c r="AI66" s="21">
        <v>11</v>
      </c>
    </row>
    <row r="67" spans="2:35">
      <c r="B67" s="20" t="s">
        <v>769</v>
      </c>
      <c r="J67" s="21"/>
      <c r="U67" s="1371"/>
      <c r="V67" s="1377" t="s">
        <v>1514</v>
      </c>
      <c r="W67" s="1377"/>
      <c r="X67" s="1377"/>
      <c r="Y67" s="1377"/>
      <c r="Z67" s="1377"/>
      <c r="AA67" s="21">
        <v>9</v>
      </c>
      <c r="AC67" s="1371" t="s">
        <v>315</v>
      </c>
      <c r="AD67" s="1377" t="s">
        <v>289</v>
      </c>
      <c r="AE67" s="1377"/>
      <c r="AF67" s="1377"/>
      <c r="AG67" s="1377"/>
      <c r="AH67" s="1377"/>
      <c r="AI67" s="21">
        <v>16</v>
      </c>
    </row>
    <row r="68" spans="2:35">
      <c r="B68" s="20"/>
      <c r="J68" s="21"/>
      <c r="U68" s="1371"/>
      <c r="V68" s="1377" t="s">
        <v>1515</v>
      </c>
      <c r="W68" s="1377"/>
      <c r="X68" s="1377"/>
      <c r="Y68" s="1377"/>
      <c r="Z68" s="1377"/>
      <c r="AA68" s="21">
        <v>12</v>
      </c>
      <c r="AC68" s="1371"/>
      <c r="AD68" s="1377" t="s">
        <v>1509</v>
      </c>
      <c r="AE68" s="1377"/>
      <c r="AF68" s="1377"/>
      <c r="AG68" s="1377"/>
      <c r="AH68" s="1377"/>
      <c r="AI68" s="21">
        <v>2.8</v>
      </c>
    </row>
    <row r="69" spans="2:35" ht="15" thickBot="1">
      <c r="B69" s="20" t="s">
        <v>770</v>
      </c>
      <c r="C69" t="s">
        <v>1516</v>
      </c>
      <c r="J69" s="21"/>
      <c r="U69" s="1371" t="s">
        <v>270</v>
      </c>
      <c r="V69" t="s">
        <v>1490</v>
      </c>
      <c r="AA69" s="21">
        <v>30</v>
      </c>
      <c r="AC69" s="1371" t="s">
        <v>286</v>
      </c>
      <c r="AD69" s="1377" t="s">
        <v>289</v>
      </c>
      <c r="AE69" s="1377"/>
      <c r="AF69" s="1377"/>
      <c r="AG69" s="1377"/>
      <c r="AH69" s="1377"/>
      <c r="AI69" s="21">
        <v>28</v>
      </c>
    </row>
    <row r="70" spans="2:35">
      <c r="B70" s="20" t="s">
        <v>742</v>
      </c>
      <c r="C70" t="s">
        <v>867</v>
      </c>
      <c r="J70" s="21"/>
      <c r="L70" s="1372" t="s">
        <v>1517</v>
      </c>
      <c r="M70" s="1373"/>
      <c r="N70" s="1373"/>
      <c r="O70" s="1373"/>
      <c r="P70" s="1373"/>
      <c r="Q70" s="1374"/>
      <c r="U70" s="1371"/>
      <c r="V70" t="s">
        <v>1518</v>
      </c>
      <c r="AA70" s="21">
        <v>15</v>
      </c>
      <c r="AC70" s="1371"/>
      <c r="AD70" s="1377" t="s">
        <v>1509</v>
      </c>
      <c r="AE70" s="1377"/>
      <c r="AF70" s="1377"/>
      <c r="AG70" s="1377"/>
      <c r="AH70" s="1377"/>
      <c r="AI70" s="21">
        <v>5</v>
      </c>
    </row>
    <row r="71" spans="2:35" ht="15" thickBot="1">
      <c r="B71" s="20" t="s">
        <v>868</v>
      </c>
      <c r="C71" t="s">
        <v>1519</v>
      </c>
      <c r="H71" s="617" t="s">
        <v>1520</v>
      </c>
      <c r="J71" s="21"/>
      <c r="L71" s="80" t="s">
        <v>1521</v>
      </c>
      <c r="M71" s="1" t="s">
        <v>1522</v>
      </c>
      <c r="Q71" s="21"/>
      <c r="U71" s="1371"/>
      <c r="V71" t="s">
        <v>1495</v>
      </c>
      <c r="AA71" s="21">
        <v>15</v>
      </c>
      <c r="AC71" s="1375"/>
      <c r="AD71" s="1379" t="s">
        <v>1523</v>
      </c>
      <c r="AE71" s="1379"/>
      <c r="AF71" s="1379"/>
      <c r="AG71" s="1379"/>
      <c r="AH71" s="1379"/>
      <c r="AI71" s="37">
        <v>10</v>
      </c>
    </row>
    <row r="72" spans="2:35">
      <c r="B72" s="615" t="s">
        <v>762</v>
      </c>
      <c r="C72" t="s">
        <v>763</v>
      </c>
      <c r="H72" s="613" t="s">
        <v>1524</v>
      </c>
      <c r="J72" s="21"/>
      <c r="L72" s="20" t="s">
        <v>1525</v>
      </c>
      <c r="M72">
        <v>128</v>
      </c>
      <c r="Q72" s="21"/>
      <c r="U72" s="1371"/>
      <c r="V72" t="s">
        <v>1493</v>
      </c>
      <c r="AA72" s="21">
        <v>15</v>
      </c>
    </row>
    <row r="73" spans="2:35">
      <c r="B73" s="20"/>
      <c r="H73" s="613" t="s">
        <v>1526</v>
      </c>
      <c r="J73" s="21"/>
      <c r="L73" s="20" t="s">
        <v>194</v>
      </c>
      <c r="M73">
        <v>53</v>
      </c>
      <c r="Q73" s="21"/>
      <c r="U73" s="1371"/>
      <c r="V73" t="s">
        <v>1501</v>
      </c>
      <c r="AA73" s="21">
        <v>15</v>
      </c>
    </row>
    <row r="74" spans="2:35" ht="15" thickBot="1">
      <c r="B74" s="20" t="s">
        <v>778</v>
      </c>
      <c r="J74" s="21"/>
      <c r="L74" s="58" t="s">
        <v>856</v>
      </c>
      <c r="M74" s="36">
        <v>1.5</v>
      </c>
      <c r="N74" s="36"/>
      <c r="O74" s="36"/>
      <c r="P74" s="36"/>
      <c r="Q74" s="37"/>
      <c r="U74" s="1371"/>
      <c r="V74" t="s">
        <v>274</v>
      </c>
      <c r="AA74" s="21">
        <v>14</v>
      </c>
    </row>
    <row r="75" spans="2:35">
      <c r="B75" s="20"/>
      <c r="J75" s="21"/>
      <c r="U75" s="1371"/>
      <c r="V75" t="s">
        <v>1508</v>
      </c>
      <c r="AA75" s="21">
        <v>13</v>
      </c>
    </row>
    <row r="76" spans="2:35">
      <c r="B76" s="20" t="s">
        <v>779</v>
      </c>
      <c r="J76" s="21"/>
      <c r="U76" s="1371"/>
      <c r="V76" t="s">
        <v>1527</v>
      </c>
      <c r="AA76" s="21">
        <v>10</v>
      </c>
    </row>
    <row r="77" spans="2:35">
      <c r="B77" s="20"/>
      <c r="J77" s="21"/>
      <c r="U77" s="1371"/>
      <c r="V77" t="s">
        <v>1528</v>
      </c>
      <c r="AA77" s="21">
        <v>6</v>
      </c>
    </row>
    <row r="78" spans="2:35">
      <c r="B78" s="20" t="s">
        <v>780</v>
      </c>
      <c r="C78" t="s">
        <v>1529</v>
      </c>
      <c r="J78" s="21"/>
      <c r="U78" s="1371"/>
      <c r="V78" t="s">
        <v>1530</v>
      </c>
      <c r="AA78" s="21">
        <v>5</v>
      </c>
    </row>
    <row r="79" spans="2:35">
      <c r="B79" s="615" t="s">
        <v>446</v>
      </c>
      <c r="C79" t="s">
        <v>782</v>
      </c>
      <c r="J79" s="21"/>
      <c r="U79" s="1371"/>
      <c r="V79" t="s">
        <v>1515</v>
      </c>
      <c r="AA79" s="21">
        <v>12</v>
      </c>
    </row>
    <row r="80" spans="2:35">
      <c r="B80" s="615" t="s">
        <v>783</v>
      </c>
      <c r="C80" t="s">
        <v>784</v>
      </c>
      <c r="J80" s="21"/>
      <c r="U80" s="1184" t="s">
        <v>271</v>
      </c>
      <c r="V80" t="s">
        <v>1531</v>
      </c>
      <c r="AA80" s="21">
        <v>20</v>
      </c>
    </row>
    <row r="81" spans="2:27" ht="15" thickBot="1">
      <c r="B81" s="58" t="s">
        <v>762</v>
      </c>
      <c r="C81" s="36" t="s">
        <v>763</v>
      </c>
      <c r="D81" s="36"/>
      <c r="E81" s="36"/>
      <c r="F81" s="36"/>
      <c r="G81" s="36"/>
      <c r="H81" s="36"/>
      <c r="I81" s="36"/>
      <c r="J81" s="37"/>
      <c r="U81" s="1184"/>
      <c r="V81" t="s">
        <v>1532</v>
      </c>
      <c r="AA81" s="21">
        <v>13</v>
      </c>
    </row>
    <row r="82" spans="2:27" ht="15" thickBot="1">
      <c r="U82" s="1184"/>
      <c r="V82" t="s">
        <v>1533</v>
      </c>
      <c r="AA82" s="21">
        <v>10</v>
      </c>
    </row>
    <row r="83" spans="2:27" ht="15" thickBot="1">
      <c r="B83" s="1340" t="s">
        <v>786</v>
      </c>
      <c r="C83" s="1350"/>
      <c r="D83" s="1350"/>
      <c r="E83" s="1350"/>
      <c r="F83" s="1350"/>
      <c r="G83" s="1350"/>
      <c r="H83" s="1350"/>
      <c r="I83" s="1350"/>
      <c r="J83" s="1351"/>
      <c r="L83" s="90" t="s">
        <v>1534</v>
      </c>
      <c r="M83" s="82"/>
      <c r="N83" s="82"/>
      <c r="O83" s="84"/>
      <c r="U83" s="1184"/>
      <c r="V83" t="s">
        <v>1535</v>
      </c>
      <c r="AA83" s="21">
        <v>15</v>
      </c>
    </row>
    <row r="84" spans="2:27">
      <c r="B84" s="20"/>
      <c r="J84" s="21"/>
      <c r="L84" s="80" t="s">
        <v>1536</v>
      </c>
      <c r="M84" s="1" t="s">
        <v>1537</v>
      </c>
      <c r="N84" s="1"/>
      <c r="O84" s="88"/>
      <c r="U84" s="1184"/>
      <c r="V84" t="s">
        <v>275</v>
      </c>
      <c r="AA84" s="21">
        <v>14</v>
      </c>
    </row>
    <row r="85" spans="2:27">
      <c r="B85" s="123" t="s">
        <v>787</v>
      </c>
      <c r="J85" s="21"/>
      <c r="L85" s="20" t="s">
        <v>1538</v>
      </c>
      <c r="M85">
        <v>30</v>
      </c>
      <c r="O85" s="21"/>
      <c r="U85" s="1184"/>
      <c r="V85" t="s">
        <v>1539</v>
      </c>
      <c r="AA85" s="21">
        <v>13</v>
      </c>
    </row>
    <row r="86" spans="2:27">
      <c r="B86" s="20"/>
      <c r="J86" s="21"/>
      <c r="L86" s="20" t="s">
        <v>205</v>
      </c>
      <c r="M86">
        <v>20</v>
      </c>
      <c r="O86" s="21"/>
      <c r="U86" s="1184"/>
      <c r="V86" t="s">
        <v>1540</v>
      </c>
      <c r="AA86" s="21">
        <v>12</v>
      </c>
    </row>
    <row r="87" spans="2:27">
      <c r="B87" s="20" t="s">
        <v>788</v>
      </c>
      <c r="J87" s="21"/>
      <c r="L87" s="20" t="s">
        <v>327</v>
      </c>
      <c r="M87">
        <v>40</v>
      </c>
      <c r="O87" s="21"/>
      <c r="U87" s="1184"/>
      <c r="V87" t="s">
        <v>1541</v>
      </c>
      <c r="AA87" s="21">
        <v>14</v>
      </c>
    </row>
    <row r="88" spans="2:27">
      <c r="B88" s="20"/>
      <c r="J88" s="21"/>
      <c r="L88" s="20" t="s">
        <v>1542</v>
      </c>
      <c r="M88">
        <v>20</v>
      </c>
      <c r="O88" s="21"/>
      <c r="U88" s="1184"/>
      <c r="V88" t="s">
        <v>1543</v>
      </c>
      <c r="AA88" s="21">
        <v>10</v>
      </c>
    </row>
    <row r="89" spans="2:27">
      <c r="B89" s="20" t="s">
        <v>789</v>
      </c>
      <c r="C89" t="s">
        <v>1544</v>
      </c>
      <c r="J89" s="21"/>
      <c r="L89" s="20" t="s">
        <v>1545</v>
      </c>
      <c r="M89">
        <v>20</v>
      </c>
      <c r="O89" s="21"/>
      <c r="U89" s="1184"/>
      <c r="V89" t="s">
        <v>1506</v>
      </c>
      <c r="AA89" s="21">
        <v>14</v>
      </c>
    </row>
    <row r="90" spans="2:27">
      <c r="B90" s="20" t="s">
        <v>742</v>
      </c>
      <c r="C90" t="s">
        <v>867</v>
      </c>
      <c r="J90" s="21"/>
      <c r="L90" s="20" t="s">
        <v>1546</v>
      </c>
      <c r="M90">
        <v>10</v>
      </c>
      <c r="O90" s="21"/>
      <c r="U90" s="1184"/>
      <c r="V90" t="s">
        <v>1547</v>
      </c>
      <c r="AA90" s="21">
        <v>14</v>
      </c>
    </row>
    <row r="91" spans="2:27" ht="15" thickBot="1">
      <c r="B91" s="615" t="s">
        <v>762</v>
      </c>
      <c r="C91" t="s">
        <v>763</v>
      </c>
      <c r="J91" s="21"/>
      <c r="L91" s="58" t="s">
        <v>1548</v>
      </c>
      <c r="M91" s="36">
        <v>2</v>
      </c>
      <c r="N91" s="36"/>
      <c r="O91" s="37"/>
      <c r="U91" s="1184"/>
      <c r="V91" t="s">
        <v>1508</v>
      </c>
      <c r="AA91" s="21">
        <v>13</v>
      </c>
    </row>
    <row r="92" spans="2:27" ht="15" thickBot="1">
      <c r="B92" s="615" t="s">
        <v>770</v>
      </c>
      <c r="C92" t="s">
        <v>1516</v>
      </c>
      <c r="J92" s="21"/>
      <c r="U92" s="1184"/>
      <c r="V92" t="s">
        <v>1549</v>
      </c>
      <c r="AA92" s="21">
        <v>15</v>
      </c>
    </row>
    <row r="93" spans="2:27">
      <c r="B93" s="20">
        <v>1.214</v>
      </c>
      <c r="C93" t="s">
        <v>1550</v>
      </c>
      <c r="J93" s="21"/>
      <c r="L93" s="1344" t="s">
        <v>1551</v>
      </c>
      <c r="M93" s="1349"/>
      <c r="N93" s="1349"/>
      <c r="O93" s="1376"/>
      <c r="U93" s="1184"/>
      <c r="V93" t="s">
        <v>1515</v>
      </c>
      <c r="AA93" s="21">
        <v>12</v>
      </c>
    </row>
    <row r="94" spans="2:27" ht="15" thickBot="1">
      <c r="B94" s="615" t="s">
        <v>792</v>
      </c>
      <c r="C94" t="s">
        <v>1552</v>
      </c>
      <c r="J94" s="21"/>
      <c r="L94" s="80" t="s">
        <v>1553</v>
      </c>
      <c r="M94" s="1"/>
      <c r="N94" s="59" t="s">
        <v>1554</v>
      </c>
      <c r="O94" s="88"/>
      <c r="U94" s="1187"/>
      <c r="V94" s="36" t="s">
        <v>1501</v>
      </c>
      <c r="W94" s="36"/>
      <c r="X94" s="36"/>
      <c r="Y94" s="36"/>
      <c r="Z94" s="36"/>
      <c r="AA94" s="37">
        <v>17</v>
      </c>
    </row>
    <row r="95" spans="2:27">
      <c r="B95" s="20"/>
      <c r="J95" s="21"/>
      <c r="L95" s="1371" t="s">
        <v>1525</v>
      </c>
      <c r="M95" t="s">
        <v>202</v>
      </c>
      <c r="N95">
        <v>21</v>
      </c>
      <c r="O95" s="21"/>
    </row>
    <row r="96" spans="2:27">
      <c r="B96" s="20" t="s">
        <v>794</v>
      </c>
      <c r="J96" s="21"/>
      <c r="L96" s="1371"/>
      <c r="M96" t="s">
        <v>280</v>
      </c>
      <c r="N96">
        <v>3</v>
      </c>
      <c r="O96" s="21"/>
    </row>
    <row r="97" spans="2:15">
      <c r="B97" s="20"/>
      <c r="J97" s="21"/>
      <c r="L97" s="1371" t="s">
        <v>194</v>
      </c>
      <c r="M97" t="s">
        <v>202</v>
      </c>
      <c r="N97">
        <v>6</v>
      </c>
      <c r="O97" s="21"/>
    </row>
    <row r="98" spans="2:15">
      <c r="B98" s="20" t="s">
        <v>795</v>
      </c>
      <c r="J98" s="21"/>
      <c r="L98" s="1371"/>
      <c r="M98" t="s">
        <v>280</v>
      </c>
      <c r="N98">
        <v>1.1000000000000001</v>
      </c>
      <c r="O98" s="21"/>
    </row>
    <row r="99" spans="2:15">
      <c r="B99" s="20"/>
      <c r="J99" s="21"/>
      <c r="L99" s="1371" t="s">
        <v>856</v>
      </c>
      <c r="M99" t="s">
        <v>202</v>
      </c>
      <c r="N99">
        <v>5.5</v>
      </c>
      <c r="O99" s="21"/>
    </row>
    <row r="100" spans="2:15">
      <c r="B100" s="20" t="s">
        <v>798</v>
      </c>
      <c r="C100" t="s">
        <v>1555</v>
      </c>
      <c r="J100" s="21"/>
      <c r="L100" s="1371"/>
      <c r="M100" t="s">
        <v>280</v>
      </c>
      <c r="N100">
        <v>0.6</v>
      </c>
      <c r="O100" s="21"/>
    </row>
    <row r="101" spans="2:15" ht="15" thickBot="1">
      <c r="B101" s="615" t="s">
        <v>446</v>
      </c>
      <c r="C101" t="s">
        <v>782</v>
      </c>
      <c r="J101" s="21"/>
      <c r="L101" s="124" t="s">
        <v>1556</v>
      </c>
      <c r="M101" s="36" t="s">
        <v>280</v>
      </c>
      <c r="N101" s="36">
        <v>7.8E-2</v>
      </c>
      <c r="O101" s="37"/>
    </row>
    <row r="102" spans="2:15">
      <c r="B102" s="615" t="s">
        <v>801</v>
      </c>
      <c r="C102" t="s">
        <v>784</v>
      </c>
      <c r="J102" s="21"/>
    </row>
    <row r="103" spans="2:15" ht="15" thickBot="1">
      <c r="B103" s="615" t="s">
        <v>762</v>
      </c>
      <c r="C103" t="s">
        <v>763</v>
      </c>
      <c r="J103" s="21"/>
    </row>
    <row r="104" spans="2:15">
      <c r="B104" s="20"/>
      <c r="J104" s="21"/>
      <c r="L104" s="90" t="s">
        <v>1557</v>
      </c>
      <c r="M104" s="82"/>
      <c r="N104" s="16"/>
      <c r="O104" s="17"/>
    </row>
    <row r="105" spans="2:15">
      <c r="B105" s="20" t="s">
        <v>802</v>
      </c>
      <c r="J105" s="21"/>
      <c r="L105" s="80" t="s">
        <v>1558</v>
      </c>
      <c r="M105" s="1" t="s">
        <v>1537</v>
      </c>
      <c r="O105" s="21"/>
    </row>
    <row r="106" spans="2:15">
      <c r="B106" s="20"/>
      <c r="J106" s="21"/>
      <c r="L106" s="20" t="s">
        <v>202</v>
      </c>
      <c r="M106">
        <v>0.1</v>
      </c>
      <c r="O106" s="21"/>
    </row>
    <row r="107" spans="2:15">
      <c r="B107" s="20" t="s">
        <v>803</v>
      </c>
      <c r="J107" s="21"/>
      <c r="L107" s="20" t="s">
        <v>2413</v>
      </c>
      <c r="M107">
        <v>2</v>
      </c>
      <c r="O107" s="21"/>
    </row>
    <row r="108" spans="2:15">
      <c r="B108" s="20"/>
      <c r="J108" s="21"/>
      <c r="L108" s="20" t="s">
        <v>2414</v>
      </c>
      <c r="M108">
        <v>1</v>
      </c>
      <c r="O108" s="21"/>
    </row>
    <row r="109" spans="2:15" ht="15" thickBot="1">
      <c r="B109" s="20" t="s">
        <v>804</v>
      </c>
      <c r="C109" t="s">
        <v>1560</v>
      </c>
      <c r="J109" s="21"/>
      <c r="L109" s="58" t="s">
        <v>1561</v>
      </c>
      <c r="M109" s="36">
        <v>0.1</v>
      </c>
      <c r="N109" s="36"/>
      <c r="O109" s="37"/>
    </row>
    <row r="110" spans="2:15">
      <c r="B110" s="20" t="s">
        <v>742</v>
      </c>
      <c r="C110" t="s">
        <v>867</v>
      </c>
      <c r="J110" s="21"/>
    </row>
    <row r="111" spans="2:15">
      <c r="B111" s="615" t="s">
        <v>762</v>
      </c>
      <c r="C111" t="s">
        <v>763</v>
      </c>
      <c r="J111" s="21"/>
    </row>
    <row r="112" spans="2:15" ht="15" thickBot="1">
      <c r="B112" s="618" t="s">
        <v>792</v>
      </c>
      <c r="C112" s="36" t="s">
        <v>1562</v>
      </c>
      <c r="D112" s="36"/>
      <c r="E112" s="36"/>
      <c r="F112" s="36"/>
      <c r="G112" s="36"/>
      <c r="H112" s="36"/>
      <c r="I112" s="36"/>
      <c r="J112" s="37"/>
    </row>
    <row r="114" spans="2:10" ht="15" thickBot="1"/>
    <row r="115" spans="2:10">
      <c r="B115" s="15" t="s">
        <v>1563</v>
      </c>
      <c r="C115" s="16"/>
      <c r="D115" s="16"/>
      <c r="E115" s="16"/>
      <c r="F115" s="16"/>
      <c r="G115" s="16"/>
      <c r="H115" s="16"/>
      <c r="I115" s="16"/>
      <c r="J115" s="17"/>
    </row>
    <row r="116" spans="2:10">
      <c r="B116" s="20"/>
      <c r="J116" s="21"/>
    </row>
    <row r="117" spans="2:10">
      <c r="B117" s="20" t="s">
        <v>818</v>
      </c>
      <c r="J117" s="21"/>
    </row>
    <row r="118" spans="2:10">
      <c r="B118" s="20"/>
      <c r="J118" s="21"/>
    </row>
    <row r="119" spans="2:10">
      <c r="B119" s="615" t="s">
        <v>770</v>
      </c>
      <c r="C119" t="s">
        <v>1516</v>
      </c>
      <c r="J119" s="21"/>
    </row>
    <row r="120" spans="2:10">
      <c r="B120" s="20" t="s">
        <v>1564</v>
      </c>
      <c r="C120" t="s">
        <v>1565</v>
      </c>
      <c r="J120" s="21"/>
    </row>
    <row r="121" spans="2:10">
      <c r="B121" s="20">
        <v>0.01</v>
      </c>
      <c r="C121" t="s">
        <v>1566</v>
      </c>
      <c r="J121" s="21"/>
    </row>
    <row r="122" spans="2:10" ht="15" thickBot="1">
      <c r="B122" s="58" t="s">
        <v>1409</v>
      </c>
      <c r="C122" s="36" t="s">
        <v>1567</v>
      </c>
      <c r="D122" s="36"/>
      <c r="E122" s="36"/>
      <c r="F122" s="36"/>
      <c r="G122" s="36"/>
      <c r="H122" s="36"/>
      <c r="I122" s="36"/>
      <c r="J122" s="37"/>
    </row>
    <row r="123" spans="2:10" ht="15" thickBot="1"/>
    <row r="124" spans="2:10">
      <c r="B124" s="15" t="s">
        <v>1568</v>
      </c>
      <c r="C124" s="16"/>
      <c r="D124" s="16"/>
      <c r="E124" s="16"/>
      <c r="F124" s="16"/>
      <c r="G124" s="16"/>
      <c r="H124" s="16"/>
      <c r="I124" s="16"/>
      <c r="J124" s="17"/>
    </row>
    <row r="125" spans="2:10">
      <c r="B125" s="20"/>
      <c r="J125" s="21"/>
    </row>
    <row r="126" spans="2:10">
      <c r="B126" s="20" t="s">
        <v>820</v>
      </c>
      <c r="J126" s="21"/>
    </row>
    <row r="127" spans="2:10">
      <c r="B127" s="20"/>
      <c r="J127" s="21"/>
    </row>
    <row r="128" spans="2:10">
      <c r="B128" s="615" t="s">
        <v>789</v>
      </c>
      <c r="C128" t="s">
        <v>1544</v>
      </c>
      <c r="J128" s="21"/>
    </row>
    <row r="129" spans="2:22">
      <c r="B129" s="20" t="s">
        <v>1564</v>
      </c>
      <c r="C129" t="s">
        <v>1565</v>
      </c>
      <c r="J129" s="21"/>
    </row>
    <row r="130" spans="2:22">
      <c r="B130" s="20">
        <v>0.01</v>
      </c>
      <c r="C130" t="s">
        <v>1566</v>
      </c>
      <c r="J130" s="21"/>
    </row>
    <row r="131" spans="2:22" ht="15" thickBot="1">
      <c r="B131" s="58" t="s">
        <v>1409</v>
      </c>
      <c r="C131" s="36" t="s">
        <v>1567</v>
      </c>
      <c r="D131" s="36"/>
      <c r="E131" s="36"/>
      <c r="F131" s="36"/>
      <c r="G131" s="36"/>
      <c r="H131" s="36"/>
      <c r="I131" s="36"/>
      <c r="J131" s="37"/>
    </row>
    <row r="134" spans="2:22" ht="23.5">
      <c r="B134" s="1427" t="s">
        <v>2515</v>
      </c>
      <c r="C134" s="1427"/>
      <c r="D134" s="1427"/>
      <c r="E134" s="1427"/>
      <c r="F134" s="1427"/>
      <c r="G134" s="1427"/>
      <c r="H134" s="1427"/>
      <c r="I134" s="1427"/>
      <c r="J134" s="1427"/>
      <c r="K134" s="1427"/>
      <c r="L134" s="1427"/>
      <c r="M134" s="1427"/>
      <c r="N134" s="1427"/>
      <c r="O134" s="1427"/>
      <c r="P134" s="1427"/>
      <c r="Q134" s="1427"/>
      <c r="R134" s="1427"/>
      <c r="S134" s="1427"/>
      <c r="T134" s="1427"/>
    </row>
    <row r="136" spans="2:22" ht="15" thickBot="1"/>
    <row r="137" spans="2:22" ht="15" thickBot="1">
      <c r="B137" s="15" t="s">
        <v>920</v>
      </c>
      <c r="C137" s="16"/>
      <c r="D137" s="16"/>
      <c r="E137" s="16"/>
      <c r="F137" s="16"/>
      <c r="G137" s="16"/>
      <c r="H137" s="16"/>
      <c r="I137" s="16"/>
      <c r="J137" s="16"/>
      <c r="K137" s="16"/>
      <c r="L137" s="17"/>
    </row>
    <row r="138" spans="2:22">
      <c r="B138" s="20"/>
      <c r="L138" s="21"/>
      <c r="O138" s="90" t="s">
        <v>1389</v>
      </c>
      <c r="P138" s="82" t="s">
        <v>1390</v>
      </c>
      <c r="Q138" s="82"/>
      <c r="R138" s="82"/>
      <c r="S138" s="84"/>
      <c r="T138" s="15"/>
      <c r="U138" s="16"/>
      <c r="V138" s="17"/>
    </row>
    <row r="139" spans="2:22">
      <c r="B139" s="80" t="s">
        <v>889</v>
      </c>
      <c r="L139" s="21"/>
      <c r="O139" s="80" t="s">
        <v>1374</v>
      </c>
      <c r="P139" s="1" t="s">
        <v>1391</v>
      </c>
      <c r="Q139" s="1" t="s">
        <v>1392</v>
      </c>
      <c r="R139" s="1" t="s">
        <v>1378</v>
      </c>
      <c r="S139" s="88" t="s">
        <v>1232</v>
      </c>
      <c r="T139" s="80" t="s">
        <v>1391</v>
      </c>
      <c r="U139" s="1" t="s">
        <v>1392</v>
      </c>
      <c r="V139" s="88" t="s">
        <v>1232</v>
      </c>
    </row>
    <row r="140" spans="2:22">
      <c r="B140" s="20"/>
      <c r="L140" s="21"/>
      <c r="O140" s="20" t="s">
        <v>939</v>
      </c>
      <c r="P140">
        <v>0.74</v>
      </c>
      <c r="Q140">
        <v>0.74</v>
      </c>
      <c r="R140" s="46" t="s">
        <v>1393</v>
      </c>
      <c r="S140" s="21" t="s">
        <v>1293</v>
      </c>
      <c r="T140" s="20">
        <v>0.74</v>
      </c>
      <c r="U140">
        <v>0.74</v>
      </c>
      <c r="V140" s="21" t="s">
        <v>1306</v>
      </c>
    </row>
    <row r="141" spans="2:22" ht="15" thickBot="1">
      <c r="B141" s="20" t="s">
        <v>890</v>
      </c>
      <c r="C141" t="s">
        <v>891</v>
      </c>
      <c r="L141" s="21"/>
      <c r="O141" s="58" t="s">
        <v>919</v>
      </c>
      <c r="P141" s="36">
        <v>0.83</v>
      </c>
      <c r="Q141" s="36">
        <v>0.83</v>
      </c>
      <c r="R141" s="91" t="s">
        <v>1393</v>
      </c>
      <c r="S141" s="37" t="s">
        <v>1293</v>
      </c>
      <c r="T141" s="58">
        <v>0.83</v>
      </c>
      <c r="U141" s="36">
        <v>0.83</v>
      </c>
      <c r="V141" s="37" t="s">
        <v>1306</v>
      </c>
    </row>
    <row r="142" spans="2:22">
      <c r="B142" s="615" t="s">
        <v>892</v>
      </c>
      <c r="C142" t="s">
        <v>893</v>
      </c>
      <c r="L142" s="21"/>
    </row>
    <row r="143" spans="2:22" ht="15" thickBot="1">
      <c r="B143" s="86" t="s">
        <v>894</v>
      </c>
      <c r="C143" s="87" t="s">
        <v>895</v>
      </c>
      <c r="D143" s="87"/>
      <c r="E143" s="87"/>
      <c r="F143" s="87"/>
      <c r="G143" s="87"/>
      <c r="H143" s="87"/>
      <c r="I143" s="87"/>
      <c r="J143" s="36"/>
      <c r="K143" s="36"/>
      <c r="L143" s="37"/>
    </row>
    <row r="145" spans="2:35" ht="15" thickBot="1"/>
    <row r="146" spans="2:35">
      <c r="B146" s="15" t="s">
        <v>931</v>
      </c>
      <c r="C146" s="16"/>
      <c r="D146" s="16"/>
      <c r="E146" s="16"/>
      <c r="F146" s="16"/>
      <c r="G146" s="16"/>
      <c r="H146" s="17"/>
    </row>
    <row r="147" spans="2:35" ht="15" thickBot="1">
      <c r="B147" s="20"/>
      <c r="H147" s="21"/>
    </row>
    <row r="148" spans="2:35">
      <c r="B148" s="80" t="s">
        <v>2415</v>
      </c>
      <c r="H148" s="21"/>
      <c r="K148" s="15" t="s">
        <v>2416</v>
      </c>
      <c r="L148" s="16"/>
      <c r="M148" s="17"/>
    </row>
    <row r="149" spans="2:35">
      <c r="B149" s="20"/>
      <c r="H149" s="21"/>
      <c r="K149" s="20" t="s">
        <v>2417</v>
      </c>
      <c r="L149" t="s">
        <v>878</v>
      </c>
      <c r="M149" s="21" t="s">
        <v>1636</v>
      </c>
      <c r="P149" s="1"/>
      <c r="Q149" s="1"/>
      <c r="R149" s="1"/>
      <c r="S149" s="1"/>
      <c r="T149" s="1"/>
      <c r="U149" s="1"/>
      <c r="V149" s="1"/>
      <c r="W149" s="1"/>
      <c r="X149" s="1"/>
      <c r="Y149" s="1"/>
      <c r="Z149" s="1"/>
      <c r="AA149" s="1"/>
      <c r="AB149" s="1"/>
      <c r="AC149" s="1"/>
      <c r="AD149" s="1"/>
      <c r="AE149" s="1"/>
      <c r="AF149" s="1"/>
      <c r="AG149" s="1"/>
      <c r="AH149" s="1"/>
      <c r="AI149" s="1"/>
    </row>
    <row r="150" spans="2:35">
      <c r="B150" s="20" t="s">
        <v>933</v>
      </c>
      <c r="C150" t="s">
        <v>934</v>
      </c>
      <c r="H150" s="21"/>
      <c r="K150" s="20" t="s">
        <v>939</v>
      </c>
      <c r="L150">
        <v>0.09</v>
      </c>
      <c r="M150" s="21" t="s">
        <v>1293</v>
      </c>
      <c r="P150" s="1"/>
      <c r="Q150" s="59"/>
      <c r="R150" s="59"/>
      <c r="S150" s="59"/>
      <c r="T150" s="59"/>
      <c r="U150" s="59"/>
      <c r="V150" s="59"/>
      <c r="W150" s="59"/>
      <c r="X150" s="59"/>
      <c r="Y150" s="59"/>
      <c r="Z150" s="59"/>
      <c r="AA150" s="59"/>
      <c r="AB150" s="59"/>
      <c r="AC150" s="59"/>
      <c r="AD150" s="59"/>
      <c r="AE150" s="59"/>
      <c r="AF150" s="59"/>
      <c r="AG150" s="59"/>
    </row>
    <row r="151" spans="2:35" ht="15" thickBot="1">
      <c r="B151" s="20" t="s">
        <v>880</v>
      </c>
      <c r="C151" t="s">
        <v>900</v>
      </c>
      <c r="H151" s="21"/>
      <c r="K151" s="58" t="s">
        <v>919</v>
      </c>
      <c r="L151" s="36">
        <v>0.03</v>
      </c>
      <c r="M151" s="37" t="s">
        <v>1293</v>
      </c>
      <c r="Q151" s="1"/>
      <c r="R151" s="1"/>
      <c r="S151" s="1"/>
      <c r="T151" s="1"/>
      <c r="U151" s="1"/>
      <c r="V151" s="1"/>
      <c r="W151" s="1"/>
      <c r="X151" s="1"/>
      <c r="Y151" s="1"/>
      <c r="Z151" s="1"/>
      <c r="AA151" s="1"/>
      <c r="AB151" s="1"/>
      <c r="AC151" s="1"/>
      <c r="AD151" s="1"/>
      <c r="AE151" s="1"/>
      <c r="AF151" s="1"/>
      <c r="AG151" s="1"/>
      <c r="AH151" s="1"/>
      <c r="AI151" s="1"/>
    </row>
    <row r="152" spans="2:35" ht="15" thickBot="1">
      <c r="B152" s="58" t="s">
        <v>878</v>
      </c>
      <c r="C152" s="36" t="s">
        <v>2418</v>
      </c>
      <c r="D152" s="36"/>
      <c r="E152" s="36"/>
      <c r="F152" s="36"/>
      <c r="G152" s="36"/>
      <c r="H152" s="37"/>
      <c r="Q152" s="64"/>
      <c r="R152" s="64"/>
      <c r="S152" s="64"/>
      <c r="T152" s="64"/>
      <c r="U152" s="64"/>
      <c r="V152" s="64"/>
      <c r="W152" s="64"/>
      <c r="X152" s="64"/>
      <c r="Y152" s="64"/>
      <c r="Z152" s="64"/>
      <c r="AA152" s="64"/>
      <c r="AB152" s="64"/>
      <c r="AC152" s="64"/>
      <c r="AD152" s="64"/>
      <c r="AE152" s="64"/>
      <c r="AF152" s="64"/>
      <c r="AG152" s="64"/>
      <c r="AH152" s="64"/>
      <c r="AI152" s="64"/>
    </row>
    <row r="153" spans="2:35">
      <c r="B153" s="613"/>
      <c r="Q153" s="64"/>
      <c r="R153" s="64"/>
      <c r="S153" s="64"/>
      <c r="T153" s="64"/>
      <c r="U153" s="64"/>
      <c r="V153" s="64"/>
      <c r="W153" s="64"/>
      <c r="X153" s="64"/>
      <c r="Y153" s="64"/>
      <c r="Z153" s="64"/>
      <c r="AA153" s="64"/>
      <c r="AB153" s="64"/>
      <c r="AC153" s="64"/>
      <c r="AD153" s="64"/>
      <c r="AE153" s="64"/>
      <c r="AF153" s="64"/>
      <c r="AG153" s="64"/>
      <c r="AH153" s="64"/>
      <c r="AI153" s="64"/>
    </row>
    <row r="156" spans="2:35" ht="15" thickBot="1"/>
    <row r="157" spans="2:35">
      <c r="B157" s="15" t="s">
        <v>896</v>
      </c>
      <c r="C157" s="16"/>
      <c r="D157" s="16"/>
      <c r="E157" s="16"/>
      <c r="F157" s="16"/>
      <c r="G157" s="16"/>
      <c r="H157" s="16"/>
      <c r="I157" s="16"/>
      <c r="J157" s="16"/>
      <c r="K157" s="17"/>
      <c r="P157" s="1388" t="s">
        <v>1438</v>
      </c>
      <c r="Q157" s="1389"/>
      <c r="R157" s="1389"/>
      <c r="S157" s="1389"/>
      <c r="T157" s="1389"/>
      <c r="U157" s="1389"/>
      <c r="V157" s="1428"/>
    </row>
    <row r="158" spans="2:35">
      <c r="B158" s="20"/>
      <c r="K158" s="21"/>
      <c r="P158" s="80" t="s">
        <v>1395</v>
      </c>
      <c r="Q158" s="1" t="s">
        <v>1396</v>
      </c>
      <c r="R158" s="1" t="s">
        <v>1378</v>
      </c>
      <c r="S158" s="1" t="s">
        <v>1232</v>
      </c>
      <c r="T158" s="1" t="s">
        <v>1233</v>
      </c>
      <c r="V158" s="21"/>
    </row>
    <row r="159" spans="2:35">
      <c r="B159" s="80" t="s">
        <v>897</v>
      </c>
      <c r="K159" s="21"/>
      <c r="P159" s="20"/>
      <c r="V159" s="21"/>
    </row>
    <row r="160" spans="2:35">
      <c r="B160" s="20"/>
      <c r="K160" s="21"/>
      <c r="P160" s="20" t="s">
        <v>1397</v>
      </c>
      <c r="Q160" t="s">
        <v>2419</v>
      </c>
      <c r="R160" t="s">
        <v>1150</v>
      </c>
      <c r="S160" t="s">
        <v>1293</v>
      </c>
      <c r="T160" t="s">
        <v>1398</v>
      </c>
      <c r="V160" s="21"/>
    </row>
    <row r="161" spans="2:22">
      <c r="B161" s="20" t="s">
        <v>898</v>
      </c>
      <c r="C161" t="s">
        <v>899</v>
      </c>
      <c r="K161" s="21"/>
      <c r="P161" s="20" t="s">
        <v>1433</v>
      </c>
      <c r="Q161">
        <v>1E-3</v>
      </c>
      <c r="R161" t="s">
        <v>1439</v>
      </c>
      <c r="S161" t="s">
        <v>1293</v>
      </c>
      <c r="V161" s="21"/>
    </row>
    <row r="162" spans="2:22" ht="15" thickBot="1">
      <c r="B162" s="32" t="s">
        <v>880</v>
      </c>
      <c r="C162" s="33" t="s">
        <v>900</v>
      </c>
      <c r="D162" s="33"/>
      <c r="E162" s="33"/>
      <c r="F162" s="33"/>
      <c r="G162" s="33"/>
      <c r="K162" s="21"/>
      <c r="P162" s="58" t="s">
        <v>1436</v>
      </c>
      <c r="Q162" s="36">
        <v>1E-3</v>
      </c>
      <c r="R162" s="36" t="s">
        <v>1439</v>
      </c>
      <c r="S162" s="36" t="s">
        <v>1293</v>
      </c>
      <c r="T162" s="36"/>
      <c r="U162" s="36"/>
      <c r="V162" s="37"/>
    </row>
    <row r="163" spans="2:22">
      <c r="B163" s="615" t="s">
        <v>890</v>
      </c>
      <c r="C163" t="s">
        <v>901</v>
      </c>
      <c r="K163" s="21"/>
    </row>
    <row r="164" spans="2:22">
      <c r="B164" s="32" t="s">
        <v>902</v>
      </c>
      <c r="C164" s="33" t="s">
        <v>903</v>
      </c>
      <c r="D164" s="33"/>
      <c r="E164" s="33"/>
      <c r="F164" s="33"/>
      <c r="G164" s="33"/>
      <c r="H164" s="33"/>
      <c r="I164" s="33"/>
      <c r="J164" s="33"/>
      <c r="K164" s="57"/>
    </row>
    <row r="165" spans="2:22">
      <c r="B165" s="615" t="s">
        <v>904</v>
      </c>
      <c r="C165" t="s">
        <v>905</v>
      </c>
      <c r="K165" s="21"/>
    </row>
    <row r="166" spans="2:22">
      <c r="B166" s="32" t="s">
        <v>1405</v>
      </c>
      <c r="C166" s="33" t="s">
        <v>1406</v>
      </c>
      <c r="D166" s="33"/>
      <c r="K166" s="21"/>
    </row>
    <row r="167" spans="2:22">
      <c r="B167" s="32" t="s">
        <v>906</v>
      </c>
      <c r="C167" s="33" t="s">
        <v>907</v>
      </c>
      <c r="D167" s="33"/>
      <c r="K167" s="21"/>
    </row>
    <row r="168" spans="2:22" ht="15" thickBot="1">
      <c r="B168" s="58" t="s">
        <v>1409</v>
      </c>
      <c r="C168" s="36" t="s">
        <v>1410</v>
      </c>
      <c r="D168" s="36"/>
      <c r="E168" s="36"/>
      <c r="F168" s="36"/>
      <c r="G168" s="36"/>
      <c r="H168" s="36"/>
      <c r="I168" s="36"/>
      <c r="J168" s="36"/>
      <c r="K168" s="37"/>
    </row>
    <row r="170" spans="2:22" ht="15" thickBot="1"/>
    <row r="171" spans="2:22">
      <c r="B171" s="15" t="s">
        <v>936</v>
      </c>
      <c r="C171" s="16"/>
      <c r="D171" s="16"/>
      <c r="E171" s="16"/>
      <c r="F171" s="16"/>
      <c r="G171" s="16"/>
      <c r="H171" s="16"/>
      <c r="I171" s="16"/>
      <c r="J171" s="16"/>
      <c r="K171" s="16"/>
      <c r="L171" s="17"/>
    </row>
    <row r="172" spans="2:22" ht="15" thickBot="1">
      <c r="B172" s="20"/>
      <c r="L172" s="21"/>
    </row>
    <row r="173" spans="2:22">
      <c r="B173" s="80" t="s">
        <v>909</v>
      </c>
      <c r="L173" s="21"/>
      <c r="Q173" s="1390" t="s">
        <v>1441</v>
      </c>
      <c r="R173" s="1391"/>
      <c r="S173" s="1391"/>
      <c r="T173" s="1391"/>
      <c r="U173" s="1392"/>
    </row>
    <row r="174" spans="2:22">
      <c r="B174" s="20"/>
      <c r="L174" s="21"/>
      <c r="Q174" s="80" t="s">
        <v>1374</v>
      </c>
      <c r="R174" s="1" t="s">
        <v>339</v>
      </c>
      <c r="S174" s="1" t="s">
        <v>913</v>
      </c>
      <c r="T174" s="1" t="s">
        <v>1378</v>
      </c>
      <c r="U174" s="88" t="s">
        <v>1232</v>
      </c>
    </row>
    <row r="175" spans="2:22">
      <c r="B175" s="20" t="s">
        <v>910</v>
      </c>
      <c r="C175" t="s">
        <v>911</v>
      </c>
      <c r="L175" s="21"/>
      <c r="Q175" s="99" t="s">
        <v>1442</v>
      </c>
      <c r="R175" t="s">
        <v>1440</v>
      </c>
      <c r="S175" s="75">
        <v>0.55000000000000004</v>
      </c>
      <c r="T175" s="46" t="s">
        <v>1443</v>
      </c>
      <c r="U175" s="21" t="s">
        <v>1293</v>
      </c>
    </row>
    <row r="176" spans="2:22" ht="15" thickBot="1">
      <c r="B176" s="32" t="s">
        <v>880</v>
      </c>
      <c r="C176" s="33" t="s">
        <v>900</v>
      </c>
      <c r="D176" s="33"/>
      <c r="E176" s="33"/>
      <c r="F176" s="33"/>
      <c r="G176" s="33"/>
      <c r="L176" s="21"/>
      <c r="Q176" s="100"/>
      <c r="R176" s="36" t="s">
        <v>354</v>
      </c>
      <c r="S176" s="101">
        <v>0.4</v>
      </c>
      <c r="T176" s="91" t="s">
        <v>1444</v>
      </c>
      <c r="U176" s="37" t="s">
        <v>1293</v>
      </c>
    </row>
    <row r="177" spans="2:20">
      <c r="B177" s="615" t="s">
        <v>890</v>
      </c>
      <c r="C177" t="s">
        <v>912</v>
      </c>
      <c r="L177" s="21"/>
    </row>
    <row r="178" spans="2:20">
      <c r="B178" s="32" t="s">
        <v>902</v>
      </c>
      <c r="C178" s="33" t="s">
        <v>903</v>
      </c>
      <c r="D178" s="33"/>
      <c r="E178" s="33"/>
      <c r="F178" s="33"/>
      <c r="G178" s="33"/>
      <c r="H178" s="33"/>
      <c r="L178" s="21"/>
    </row>
    <row r="179" spans="2:20">
      <c r="B179" s="615" t="s">
        <v>913</v>
      </c>
      <c r="C179" t="s">
        <v>937</v>
      </c>
      <c r="L179" s="21"/>
    </row>
    <row r="180" spans="2:20">
      <c r="B180" s="32" t="s">
        <v>1405</v>
      </c>
      <c r="C180" s="33" t="s">
        <v>1406</v>
      </c>
      <c r="L180" s="21"/>
    </row>
    <row r="181" spans="2:20">
      <c r="B181" s="32" t="s">
        <v>906</v>
      </c>
      <c r="C181" s="33" t="s">
        <v>907</v>
      </c>
      <c r="L181" s="21"/>
    </row>
    <row r="182" spans="2:20">
      <c r="B182" s="20"/>
      <c r="L182" s="21"/>
    </row>
    <row r="183" spans="2:20">
      <c r="B183" s="80" t="s">
        <v>915</v>
      </c>
      <c r="L183" s="21"/>
    </row>
    <row r="184" spans="2:20">
      <c r="B184" s="20"/>
      <c r="L184" s="21"/>
    </row>
    <row r="185" spans="2:20">
      <c r="B185" s="20" t="s">
        <v>916</v>
      </c>
      <c r="C185" t="s">
        <v>917</v>
      </c>
      <c r="L185" s="21"/>
    </row>
    <row r="186" spans="2:20">
      <c r="B186" s="615" t="s">
        <v>910</v>
      </c>
      <c r="C186" t="s">
        <v>911</v>
      </c>
      <c r="L186" s="21"/>
    </row>
    <row r="187" spans="2:20">
      <c r="B187" s="20" t="s">
        <v>704</v>
      </c>
      <c r="C187" t="s">
        <v>918</v>
      </c>
      <c r="K187" s="63" t="s">
        <v>1419</v>
      </c>
      <c r="L187" s="21"/>
    </row>
    <row r="188" spans="2:20" ht="15" thickBot="1">
      <c r="B188" s="58" t="s">
        <v>1409</v>
      </c>
      <c r="C188" s="36" t="s">
        <v>1410</v>
      </c>
      <c r="D188" s="36"/>
      <c r="E188" s="36"/>
      <c r="F188" s="36"/>
      <c r="G188" s="36"/>
      <c r="H188" s="36"/>
      <c r="I188" s="36"/>
      <c r="J188" s="36"/>
      <c r="K188" s="36"/>
      <c r="L188" s="37"/>
    </row>
    <row r="192" spans="2:20" ht="23.5">
      <c r="B192" s="1427" t="s">
        <v>2516</v>
      </c>
      <c r="C192" s="1427"/>
      <c r="D192" s="1427"/>
      <c r="E192" s="1427"/>
      <c r="F192" s="1427"/>
      <c r="G192" s="1427"/>
      <c r="H192" s="1427"/>
      <c r="I192" s="1427"/>
      <c r="J192" s="1427"/>
      <c r="K192" s="1427"/>
      <c r="L192" s="1427"/>
      <c r="M192" s="1427"/>
      <c r="N192" s="1427"/>
      <c r="O192" s="1427"/>
      <c r="P192" s="1427"/>
      <c r="Q192" s="1427"/>
      <c r="R192" s="1427"/>
      <c r="S192" s="1427"/>
      <c r="T192" s="1427"/>
    </row>
    <row r="193" spans="2:20" ht="15" thickBot="1"/>
    <row r="194" spans="2:20" ht="15" thickBot="1">
      <c r="B194" s="15" t="s">
        <v>1373</v>
      </c>
      <c r="C194" s="16"/>
      <c r="D194" s="16"/>
      <c r="E194" s="16"/>
      <c r="F194" s="16"/>
      <c r="G194" s="16"/>
      <c r="H194" s="16"/>
      <c r="I194" s="16"/>
      <c r="J194" s="16"/>
      <c r="K194" s="17"/>
    </row>
    <row r="195" spans="2:20" ht="58">
      <c r="B195" s="80" t="s">
        <v>875</v>
      </c>
      <c r="K195" s="21"/>
      <c r="M195" s="81" t="s">
        <v>1374</v>
      </c>
      <c r="N195" s="82" t="s">
        <v>1375</v>
      </c>
      <c r="O195" s="83" t="s">
        <v>1376</v>
      </c>
      <c r="P195" s="82" t="s">
        <v>1377</v>
      </c>
      <c r="Q195" s="82" t="s">
        <v>1378</v>
      </c>
      <c r="R195" s="84" t="s">
        <v>1232</v>
      </c>
    </row>
    <row r="196" spans="2:20">
      <c r="B196" s="20" t="s">
        <v>876</v>
      </c>
      <c r="C196" t="s">
        <v>877</v>
      </c>
      <c r="K196" s="21"/>
      <c r="M196" s="1371" t="s">
        <v>874</v>
      </c>
      <c r="N196" t="s">
        <v>1379</v>
      </c>
      <c r="O196" s="1">
        <v>8</v>
      </c>
      <c r="P196">
        <v>40</v>
      </c>
      <c r="Q196" t="s">
        <v>1380</v>
      </c>
      <c r="R196" s="21" t="s">
        <v>1293</v>
      </c>
    </row>
    <row r="197" spans="2:20" ht="15" thickBot="1">
      <c r="B197" s="615" t="s">
        <v>878</v>
      </c>
      <c r="C197" t="s">
        <v>879</v>
      </c>
      <c r="K197" s="21"/>
      <c r="M197" s="1375"/>
      <c r="N197" s="36" t="s">
        <v>1381</v>
      </c>
      <c r="O197" s="36">
        <v>5</v>
      </c>
      <c r="P197" s="36">
        <v>31</v>
      </c>
      <c r="Q197" s="36" t="s">
        <v>1380</v>
      </c>
      <c r="R197" s="37" t="s">
        <v>1293</v>
      </c>
    </row>
    <row r="198" spans="2:20" ht="15" thickBot="1">
      <c r="B198" s="86" t="s">
        <v>880</v>
      </c>
      <c r="C198" s="87" t="s">
        <v>1382</v>
      </c>
      <c r="D198" s="87"/>
      <c r="E198" s="87"/>
      <c r="F198" s="87"/>
      <c r="G198" s="87"/>
      <c r="H198" s="87"/>
      <c r="I198" s="36"/>
      <c r="J198" s="36"/>
      <c r="K198" s="37"/>
    </row>
    <row r="200" spans="2:20" ht="15" thickBot="1"/>
    <row r="201" spans="2:20" ht="15" thickBot="1">
      <c r="B201" s="15" t="s">
        <v>1383</v>
      </c>
      <c r="C201" s="16"/>
      <c r="D201" s="16"/>
      <c r="E201" s="16"/>
      <c r="F201" s="16"/>
      <c r="G201" s="16"/>
      <c r="H201" s="16"/>
      <c r="I201" s="16"/>
      <c r="J201" s="16"/>
      <c r="K201" s="16"/>
      <c r="L201" s="16"/>
      <c r="M201" s="17"/>
    </row>
    <row r="202" spans="2:20" ht="15" thickBot="1">
      <c r="B202" s="20"/>
      <c r="M202" s="21"/>
      <c r="O202" s="1384" t="s">
        <v>1384</v>
      </c>
      <c r="P202" s="1385"/>
      <c r="Q202" s="1385"/>
      <c r="R202" s="1385"/>
      <c r="S202" s="1385"/>
      <c r="T202" s="1386"/>
    </row>
    <row r="203" spans="2:20" ht="15" thickBot="1">
      <c r="B203" s="1076" t="s">
        <v>882</v>
      </c>
      <c r="C203" s="1074"/>
      <c r="M203" s="21"/>
      <c r="O203" s="20"/>
      <c r="Q203" s="1344" t="s">
        <v>1385</v>
      </c>
      <c r="R203" s="1349"/>
      <c r="S203" s="1376"/>
      <c r="T203" s="21" t="s">
        <v>1232</v>
      </c>
    </row>
    <row r="204" spans="2:20">
      <c r="B204" s="115" t="s">
        <v>883</v>
      </c>
      <c r="C204" s="31" t="s">
        <v>884</v>
      </c>
      <c r="D204" s="31"/>
      <c r="M204" s="21"/>
      <c r="O204" s="15"/>
      <c r="P204" s="16"/>
      <c r="Q204" s="82" t="s">
        <v>1386</v>
      </c>
      <c r="R204" s="82" t="s">
        <v>1387</v>
      </c>
      <c r="S204" s="84" t="s">
        <v>1388</v>
      </c>
      <c r="T204" s="21"/>
    </row>
    <row r="205" spans="2:20">
      <c r="B205" s="1075" t="s">
        <v>885</v>
      </c>
      <c r="C205" s="31" t="s">
        <v>886</v>
      </c>
      <c r="D205" s="31"/>
      <c r="M205" s="21"/>
      <c r="O205" s="1371" t="s">
        <v>874</v>
      </c>
      <c r="P205" t="s">
        <v>1379</v>
      </c>
      <c r="Q205" s="1">
        <v>0.19</v>
      </c>
      <c r="R205">
        <v>0.28000000000000003</v>
      </c>
      <c r="S205" s="21">
        <v>0.37</v>
      </c>
      <c r="T205" s="21" t="s">
        <v>1293</v>
      </c>
    </row>
    <row r="206" spans="2:20" ht="15" thickBot="1">
      <c r="B206" s="115" t="s">
        <v>887</v>
      </c>
      <c r="C206" s="31" t="s">
        <v>636</v>
      </c>
      <c r="D206" s="31"/>
      <c r="M206" s="21"/>
      <c r="O206" s="1375"/>
      <c r="P206" s="36" t="s">
        <v>1381</v>
      </c>
      <c r="Q206" s="36">
        <v>0.1</v>
      </c>
      <c r="R206" s="36">
        <v>0.15</v>
      </c>
      <c r="S206" s="37">
        <v>0.2</v>
      </c>
      <c r="T206" s="37" t="s">
        <v>1293</v>
      </c>
    </row>
    <row r="207" spans="2:20">
      <c r="B207" s="89"/>
      <c r="M207" s="21"/>
      <c r="O207" s="202"/>
    </row>
    <row r="208" spans="2:20" ht="15" thickBot="1">
      <c r="B208" s="86"/>
      <c r="C208" s="87"/>
      <c r="D208" s="87"/>
      <c r="E208" s="87"/>
      <c r="F208" s="36"/>
      <c r="G208" s="36"/>
      <c r="H208" s="36"/>
      <c r="I208" s="36"/>
      <c r="J208" s="36"/>
      <c r="K208" s="36"/>
      <c r="L208" s="36"/>
      <c r="M208" s="37"/>
      <c r="O208" s="202"/>
    </row>
    <row r="210" spans="2:19" ht="15" thickBot="1"/>
    <row r="211" spans="2:19" ht="15" thickBot="1">
      <c r="B211" s="15" t="s">
        <v>888</v>
      </c>
      <c r="C211" s="16"/>
      <c r="D211" s="16"/>
      <c r="E211" s="16"/>
      <c r="F211" s="16"/>
      <c r="G211" s="16"/>
      <c r="H211" s="16"/>
      <c r="I211" s="16"/>
      <c r="J211" s="16"/>
      <c r="K211" s="16"/>
      <c r="L211" s="17"/>
    </row>
    <row r="212" spans="2:19">
      <c r="B212" s="20"/>
      <c r="L212" s="21"/>
      <c r="O212" s="90" t="s">
        <v>1389</v>
      </c>
      <c r="P212" s="1349" t="s">
        <v>1390</v>
      </c>
      <c r="Q212" s="1349"/>
      <c r="R212" s="82"/>
      <c r="S212" s="84"/>
    </row>
    <row r="213" spans="2:19">
      <c r="B213" s="80" t="s">
        <v>889</v>
      </c>
      <c r="L213" s="21"/>
      <c r="O213" s="80" t="s">
        <v>1374</v>
      </c>
      <c r="P213" s="1" t="s">
        <v>1391</v>
      </c>
      <c r="Q213" s="1" t="s">
        <v>1392</v>
      </c>
      <c r="R213" s="1" t="s">
        <v>1378</v>
      </c>
      <c r="S213" s="88" t="s">
        <v>1232</v>
      </c>
    </row>
    <row r="214" spans="2:19" ht="15" thickBot="1">
      <c r="B214" s="20"/>
      <c r="L214" s="21"/>
      <c r="O214" s="58" t="s">
        <v>874</v>
      </c>
      <c r="P214" s="1073">
        <v>0.85</v>
      </c>
      <c r="Q214" s="36">
        <v>0.9</v>
      </c>
      <c r="R214" s="91" t="s">
        <v>1393</v>
      </c>
      <c r="S214" s="37" t="s">
        <v>1293</v>
      </c>
    </row>
    <row r="215" spans="2:19">
      <c r="B215" s="20" t="s">
        <v>890</v>
      </c>
      <c r="C215" t="s">
        <v>891</v>
      </c>
      <c r="L215" s="21"/>
    </row>
    <row r="216" spans="2:19">
      <c r="B216" s="619" t="s">
        <v>892</v>
      </c>
      <c r="C216" t="s">
        <v>893</v>
      </c>
      <c r="L216" s="21"/>
    </row>
    <row r="217" spans="2:19" ht="15" thickBot="1">
      <c r="B217" s="86" t="s">
        <v>894</v>
      </c>
      <c r="C217" s="87" t="s">
        <v>895</v>
      </c>
      <c r="D217" s="87"/>
      <c r="E217" s="87"/>
      <c r="F217" s="87"/>
      <c r="G217" s="87"/>
      <c r="H217" s="87"/>
      <c r="I217" s="87"/>
      <c r="J217" s="36"/>
      <c r="K217" s="36"/>
      <c r="L217" s="37"/>
    </row>
    <row r="218" spans="2:19" ht="15" thickBot="1">
      <c r="O218" s="1340" t="s">
        <v>1394</v>
      </c>
      <c r="P218" s="1350"/>
      <c r="Q218" s="1350"/>
      <c r="R218" s="1351"/>
    </row>
    <row r="219" spans="2:19" ht="15" thickBot="1">
      <c r="O219" s="80" t="s">
        <v>1395</v>
      </c>
      <c r="P219" s="1" t="s">
        <v>1396</v>
      </c>
      <c r="Q219" s="1" t="s">
        <v>1232</v>
      </c>
      <c r="R219" s="88" t="s">
        <v>1233</v>
      </c>
    </row>
    <row r="220" spans="2:19">
      <c r="B220" s="15" t="s">
        <v>896</v>
      </c>
      <c r="C220" s="16"/>
      <c r="D220" s="16"/>
      <c r="E220" s="16"/>
      <c r="F220" s="16"/>
      <c r="G220" s="16"/>
      <c r="H220" s="16"/>
      <c r="I220" s="16"/>
      <c r="J220" s="16"/>
      <c r="K220" s="17"/>
      <c r="O220" s="20"/>
      <c r="R220" s="21"/>
      <c r="S220" s="64"/>
    </row>
    <row r="221" spans="2:19">
      <c r="B221" s="20"/>
      <c r="K221" s="21"/>
      <c r="O221" s="20" t="s">
        <v>1397</v>
      </c>
      <c r="P221">
        <v>0</v>
      </c>
      <c r="Q221" t="s">
        <v>1293</v>
      </c>
      <c r="R221" s="21" t="s">
        <v>1398</v>
      </c>
      <c r="S221" t="s">
        <v>982</v>
      </c>
    </row>
    <row r="222" spans="2:19">
      <c r="B222" s="80" t="s">
        <v>897</v>
      </c>
      <c r="K222" s="21"/>
      <c r="O222" s="20" t="s">
        <v>1399</v>
      </c>
      <c r="P222">
        <v>0</v>
      </c>
      <c r="Q222" t="s">
        <v>1293</v>
      </c>
      <c r="R222" s="93" t="s">
        <v>1400</v>
      </c>
      <c r="S222" t="s">
        <v>982</v>
      </c>
    </row>
    <row r="223" spans="2:19">
      <c r="B223" s="20"/>
      <c r="K223" s="21"/>
      <c r="O223" s="20" t="s">
        <v>1401</v>
      </c>
      <c r="P223">
        <v>5.0000000000000001E-3</v>
      </c>
      <c r="Q223" t="s">
        <v>1293</v>
      </c>
      <c r="R223" s="21"/>
    </row>
    <row r="224" spans="2:19">
      <c r="B224" s="20" t="s">
        <v>898</v>
      </c>
      <c r="C224" t="s">
        <v>899</v>
      </c>
      <c r="K224" s="21"/>
      <c r="O224" s="20" t="s">
        <v>341</v>
      </c>
      <c r="P224">
        <v>0.02</v>
      </c>
      <c r="Q224" t="s">
        <v>1293</v>
      </c>
      <c r="R224" s="21"/>
    </row>
    <row r="225" spans="2:19">
      <c r="B225" s="32" t="s">
        <v>880</v>
      </c>
      <c r="C225" s="33" t="s">
        <v>900</v>
      </c>
      <c r="D225" s="33"/>
      <c r="E225" s="33"/>
      <c r="F225" s="33"/>
      <c r="G225" s="33"/>
      <c r="K225" s="21"/>
      <c r="O225" s="20" t="s">
        <v>340</v>
      </c>
      <c r="P225">
        <v>5.0000000000000001E-3</v>
      </c>
      <c r="Q225" t="s">
        <v>1293</v>
      </c>
      <c r="R225" s="21"/>
    </row>
    <row r="226" spans="2:19">
      <c r="B226" s="619" t="s">
        <v>890</v>
      </c>
      <c r="C226" t="s">
        <v>901</v>
      </c>
      <c r="K226" s="21"/>
      <c r="O226" s="20" t="s">
        <v>1402</v>
      </c>
      <c r="P226">
        <v>0</v>
      </c>
      <c r="Q226" t="s">
        <v>1293</v>
      </c>
      <c r="R226" s="21"/>
    </row>
    <row r="227" spans="2:19">
      <c r="B227" s="32" t="s">
        <v>902</v>
      </c>
      <c r="C227" s="33" t="s">
        <v>903</v>
      </c>
      <c r="D227" s="33"/>
      <c r="E227" s="33"/>
      <c r="F227" s="33"/>
      <c r="G227" s="33"/>
      <c r="H227" s="33"/>
      <c r="I227" s="33"/>
      <c r="J227" s="33"/>
      <c r="K227" s="57"/>
      <c r="O227" s="20" t="s">
        <v>1403</v>
      </c>
      <c r="P227">
        <v>0</v>
      </c>
      <c r="Q227" t="s">
        <v>1293</v>
      </c>
      <c r="R227" s="21"/>
    </row>
    <row r="228" spans="2:19">
      <c r="B228" s="619" t="s">
        <v>904</v>
      </c>
      <c r="C228" t="s">
        <v>905</v>
      </c>
      <c r="K228" s="21"/>
      <c r="O228" s="20" t="s">
        <v>1404</v>
      </c>
      <c r="P228">
        <v>7.0000000000000007E-2</v>
      </c>
      <c r="Q228" t="s">
        <v>1293</v>
      </c>
      <c r="R228" s="21"/>
    </row>
    <row r="229" spans="2:19">
      <c r="B229" s="32" t="s">
        <v>1405</v>
      </c>
      <c r="C229" s="33" t="s">
        <v>1406</v>
      </c>
      <c r="K229" s="21"/>
      <c r="O229" s="20" t="s">
        <v>1407</v>
      </c>
      <c r="P229">
        <v>0.01</v>
      </c>
      <c r="Q229" t="s">
        <v>1293</v>
      </c>
      <c r="R229" s="21"/>
    </row>
    <row r="230" spans="2:19">
      <c r="B230" s="32" t="s">
        <v>906</v>
      </c>
      <c r="C230" s="33" t="s">
        <v>907</v>
      </c>
      <c r="K230" s="21"/>
      <c r="O230" s="20" t="s">
        <v>1408</v>
      </c>
      <c r="P230">
        <v>0</v>
      </c>
      <c r="Q230" t="s">
        <v>1293</v>
      </c>
      <c r="R230" s="21"/>
    </row>
    <row r="231" spans="2:19" ht="15" thickBot="1">
      <c r="B231" s="58" t="s">
        <v>1409</v>
      </c>
      <c r="C231" s="36" t="s">
        <v>1410</v>
      </c>
      <c r="D231" s="36"/>
      <c r="E231" s="36"/>
      <c r="F231" s="36"/>
      <c r="G231" s="36"/>
      <c r="H231" s="36"/>
      <c r="I231" s="36"/>
      <c r="J231" s="36"/>
      <c r="K231" s="37"/>
      <c r="O231" s="20" t="s">
        <v>1411</v>
      </c>
      <c r="P231">
        <v>6.0000000000000001E-3</v>
      </c>
      <c r="Q231" t="s">
        <v>1293</v>
      </c>
      <c r="R231" s="21"/>
      <c r="S231" t="s">
        <v>982</v>
      </c>
    </row>
    <row r="232" spans="2:19">
      <c r="O232" s="20" t="s">
        <v>1412</v>
      </c>
      <c r="P232">
        <v>6.0000000000000001E-3</v>
      </c>
      <c r="Q232" t="s">
        <v>1293</v>
      </c>
      <c r="R232" s="21"/>
    </row>
    <row r="233" spans="2:19">
      <c r="O233" s="20" t="s">
        <v>1413</v>
      </c>
      <c r="P233">
        <v>0.01</v>
      </c>
      <c r="Q233" t="s">
        <v>1293</v>
      </c>
      <c r="R233" s="21"/>
    </row>
    <row r="234" spans="2:19" ht="15" thickBot="1">
      <c r="O234" s="58" t="s">
        <v>1414</v>
      </c>
      <c r="P234" s="36">
        <v>5.0000000000000001E-3</v>
      </c>
      <c r="Q234" s="36" t="s">
        <v>1293</v>
      </c>
      <c r="R234" s="37"/>
    </row>
    <row r="235" spans="2:19">
      <c r="B235" s="15" t="s">
        <v>908</v>
      </c>
      <c r="C235" s="16"/>
      <c r="D235" s="16"/>
      <c r="E235" s="16"/>
      <c r="F235" s="16"/>
      <c r="G235" s="16"/>
      <c r="H235" s="16"/>
      <c r="I235" s="16"/>
      <c r="J235" s="16"/>
      <c r="K235" s="16"/>
      <c r="L235" s="17"/>
    </row>
    <row r="236" spans="2:19">
      <c r="B236" s="20"/>
      <c r="L236" s="21"/>
    </row>
    <row r="237" spans="2:19">
      <c r="B237" s="80" t="s">
        <v>1415</v>
      </c>
      <c r="L237" s="21"/>
    </row>
    <row r="238" spans="2:19" ht="15" thickBot="1">
      <c r="B238" s="20"/>
      <c r="L238" s="21"/>
    </row>
    <row r="239" spans="2:19" ht="15" thickBot="1">
      <c r="B239" s="20" t="s">
        <v>910</v>
      </c>
      <c r="C239" t="s">
        <v>911</v>
      </c>
      <c r="L239" s="21"/>
      <c r="O239" s="1393" t="s">
        <v>1416</v>
      </c>
      <c r="P239" s="1394"/>
      <c r="Q239" s="1394"/>
      <c r="R239" s="1395"/>
    </row>
    <row r="240" spans="2:19">
      <c r="B240" s="32" t="s">
        <v>880</v>
      </c>
      <c r="C240" s="33" t="s">
        <v>900</v>
      </c>
      <c r="D240" s="33"/>
      <c r="E240" s="33"/>
      <c r="F240" s="33"/>
      <c r="G240" s="33"/>
      <c r="H240" s="33"/>
      <c r="L240" s="21"/>
      <c r="O240" s="80" t="s">
        <v>1395</v>
      </c>
      <c r="P240" s="1" t="s">
        <v>913</v>
      </c>
      <c r="Q240" s="1" t="s">
        <v>1232</v>
      </c>
      <c r="R240" s="88" t="s">
        <v>1233</v>
      </c>
    </row>
    <row r="241" spans="2:19">
      <c r="B241" s="615" t="s">
        <v>890</v>
      </c>
      <c r="C241" t="s">
        <v>912</v>
      </c>
      <c r="L241" s="21"/>
      <c r="O241" s="20"/>
      <c r="R241" s="21"/>
    </row>
    <row r="242" spans="2:19">
      <c r="B242" s="32" t="s">
        <v>902</v>
      </c>
      <c r="C242" s="33" t="s">
        <v>903</v>
      </c>
      <c r="D242" s="33"/>
      <c r="E242" s="33"/>
      <c r="F242" s="33"/>
      <c r="G242" s="33"/>
      <c r="H242" s="33"/>
      <c r="I242" s="33"/>
      <c r="J242" s="33"/>
      <c r="K242" s="33"/>
      <c r="L242" s="21"/>
      <c r="O242" s="20" t="s">
        <v>1417</v>
      </c>
      <c r="P242">
        <v>25</v>
      </c>
      <c r="Q242" t="s">
        <v>1293</v>
      </c>
      <c r="R242" s="21"/>
      <c r="S242" t="s">
        <v>982</v>
      </c>
    </row>
    <row r="243" spans="2:19" ht="15" thickBot="1">
      <c r="B243" s="615" t="s">
        <v>913</v>
      </c>
      <c r="C243" t="s">
        <v>914</v>
      </c>
      <c r="L243" s="21"/>
      <c r="O243" s="58" t="s">
        <v>1418</v>
      </c>
      <c r="P243" s="36">
        <v>12</v>
      </c>
      <c r="Q243" s="36" t="s">
        <v>1293</v>
      </c>
      <c r="R243" s="37"/>
      <c r="S243" t="s">
        <v>982</v>
      </c>
    </row>
    <row r="244" spans="2:19">
      <c r="B244" s="32" t="s">
        <v>1405</v>
      </c>
      <c r="C244" s="33" t="s">
        <v>1406</v>
      </c>
      <c r="L244" s="21"/>
    </row>
    <row r="245" spans="2:19">
      <c r="B245" s="32" t="s">
        <v>906</v>
      </c>
      <c r="C245" s="33" t="s">
        <v>907</v>
      </c>
      <c r="L245" s="21"/>
    </row>
    <row r="246" spans="2:19">
      <c r="B246" s="20"/>
      <c r="L246" s="21"/>
    </row>
    <row r="247" spans="2:19">
      <c r="B247" s="80" t="s">
        <v>915</v>
      </c>
      <c r="L247" s="21"/>
    </row>
    <row r="248" spans="2:19">
      <c r="B248" s="20"/>
      <c r="L248" s="21"/>
    </row>
    <row r="249" spans="2:19">
      <c r="B249" s="20" t="s">
        <v>916</v>
      </c>
      <c r="C249" t="s">
        <v>917</v>
      </c>
      <c r="L249" s="21"/>
    </row>
    <row r="250" spans="2:19">
      <c r="B250" s="615" t="s">
        <v>910</v>
      </c>
      <c r="C250" t="s">
        <v>911</v>
      </c>
      <c r="L250" s="21"/>
    </row>
    <row r="251" spans="2:19">
      <c r="B251" s="20" t="s">
        <v>704</v>
      </c>
      <c r="C251" t="s">
        <v>918</v>
      </c>
      <c r="K251" s="63" t="s">
        <v>1419</v>
      </c>
      <c r="L251" s="21"/>
    </row>
    <row r="252" spans="2:19" ht="15" thickBot="1">
      <c r="B252" s="58" t="s">
        <v>1409</v>
      </c>
      <c r="C252" s="36" t="s">
        <v>1410</v>
      </c>
      <c r="D252" s="36"/>
      <c r="E252" s="36"/>
      <c r="F252" s="36"/>
      <c r="G252" s="36"/>
      <c r="H252" s="36"/>
      <c r="I252" s="36"/>
      <c r="J252" s="36"/>
      <c r="K252" s="36"/>
      <c r="L252" s="37"/>
      <c r="S252" t="s">
        <v>982</v>
      </c>
    </row>
    <row r="253" spans="2:19">
      <c r="S253" t="s">
        <v>982</v>
      </c>
    </row>
  </sheetData>
  <sheetProtection insertColumns="0" insertRows="0" selectLockedCells="1" selectUnlockedCells="1"/>
  <mergeCells count="91">
    <mergeCell ref="V22:AA22"/>
    <mergeCell ref="B1:T1"/>
    <mergeCell ref="B3:S3"/>
    <mergeCell ref="B4:I4"/>
    <mergeCell ref="J4:S4"/>
    <mergeCell ref="U4:AA4"/>
    <mergeCell ref="V17:AA17"/>
    <mergeCell ref="L18:Q18"/>
    <mergeCell ref="V18:AA18"/>
    <mergeCell ref="V19:AA19"/>
    <mergeCell ref="V20:AA20"/>
    <mergeCell ref="V21:AA21"/>
    <mergeCell ref="AD56:AH56"/>
    <mergeCell ref="V34:AA34"/>
    <mergeCell ref="V23:AA23"/>
    <mergeCell ref="V24:AA24"/>
    <mergeCell ref="V25:AA25"/>
    <mergeCell ref="V26:AA26"/>
    <mergeCell ref="V27:AA27"/>
    <mergeCell ref="V28:AA28"/>
    <mergeCell ref="V29:AA29"/>
    <mergeCell ref="V30:AA30"/>
    <mergeCell ref="V31:AA31"/>
    <mergeCell ref="V32:AA32"/>
    <mergeCell ref="V33:AA33"/>
    <mergeCell ref="M61:Q61"/>
    <mergeCell ref="V61:Z61"/>
    <mergeCell ref="B55:J55"/>
    <mergeCell ref="L55:S55"/>
    <mergeCell ref="U55:AA55"/>
    <mergeCell ref="V56:Z56"/>
    <mergeCell ref="V63:Z63"/>
    <mergeCell ref="AD63:AH63"/>
    <mergeCell ref="AD57:AH57"/>
    <mergeCell ref="M58:Q58"/>
    <mergeCell ref="V58:Z58"/>
    <mergeCell ref="AD58:AH58"/>
    <mergeCell ref="M59:Q59"/>
    <mergeCell ref="V59:Z59"/>
    <mergeCell ref="AD59:AH59"/>
    <mergeCell ref="M57:Q57"/>
    <mergeCell ref="U57:U68"/>
    <mergeCell ref="V57:Z57"/>
    <mergeCell ref="AC57:AC66"/>
    <mergeCell ref="M60:Q60"/>
    <mergeCell ref="V60:Z60"/>
    <mergeCell ref="AD60:AH60"/>
    <mergeCell ref="M64:Q64"/>
    <mergeCell ref="V64:Z64"/>
    <mergeCell ref="AD64:AH64"/>
    <mergeCell ref="L65:L66"/>
    <mergeCell ref="M65:Q65"/>
    <mergeCell ref="V65:Z65"/>
    <mergeCell ref="AD65:AH65"/>
    <mergeCell ref="M66:Q66"/>
    <mergeCell ref="V66:Z66"/>
    <mergeCell ref="AD66:AH66"/>
    <mergeCell ref="L57:L64"/>
    <mergeCell ref="AD61:AH61"/>
    <mergeCell ref="M62:Q62"/>
    <mergeCell ref="V62:Z62"/>
    <mergeCell ref="AD62:AH62"/>
    <mergeCell ref="M63:Q63"/>
    <mergeCell ref="V67:Z67"/>
    <mergeCell ref="AC67:AC68"/>
    <mergeCell ref="AD67:AH67"/>
    <mergeCell ref="V68:Z68"/>
    <mergeCell ref="AD68:AH68"/>
    <mergeCell ref="P157:V157"/>
    <mergeCell ref="L70:Q70"/>
    <mergeCell ref="AD70:AH70"/>
    <mergeCell ref="AD71:AH71"/>
    <mergeCell ref="U80:U94"/>
    <mergeCell ref="L95:L96"/>
    <mergeCell ref="L97:L98"/>
    <mergeCell ref="L99:L100"/>
    <mergeCell ref="B134:T134"/>
    <mergeCell ref="B83:J83"/>
    <mergeCell ref="L93:O93"/>
    <mergeCell ref="U69:U79"/>
    <mergeCell ref="AC69:AC71"/>
    <mergeCell ref="AD69:AH69"/>
    <mergeCell ref="O239:R239"/>
    <mergeCell ref="P212:Q212"/>
    <mergeCell ref="O218:R218"/>
    <mergeCell ref="Q173:U173"/>
    <mergeCell ref="B192:T192"/>
    <mergeCell ref="M196:M197"/>
    <mergeCell ref="O202:T202"/>
    <mergeCell ref="Q203:S203"/>
    <mergeCell ref="O205:O206"/>
  </mergeCells>
  <dataValidations count="1">
    <dataValidation type="list" allowBlank="1" showInputMessage="1" showErrorMessage="1" sqref="K40" xr:uid="{1B403327-1955-466B-AAB1-CE49E9EDE94B}">
      <formula1>$L$72:$L$73</formula1>
    </dataValidation>
  </dataValidations>
  <hyperlinks>
    <hyperlink ref="B27" location="'Atm õhu kaitse määrus'!U5" display="mNjuurdekasv" xr:uid="{DEE7E3CD-6914-49D5-ACA3-A38772AE62ED}"/>
    <hyperlink ref="B35" location="'Atm õhu kaitse määrus'!U6" display="mNloode" xr:uid="{5D89E086-2F9B-48AC-B941-BC696505DDF8}"/>
    <hyperlink ref="K10" location="'Atm õhu kaitse määrus'!T15" display="qN" xr:uid="{9AF8809A-A274-4A0A-9A90-FDD1B2F43A9F}"/>
    <hyperlink ref="H71" location="'Atm õhu kaitse määrus'!K54" display="klaut veis" xr:uid="{45A87BFA-DA93-426B-B882-B8445CA205C2}"/>
    <hyperlink ref="H72" location="'Atm õhu kaitse määrus'!T54" display="klaut siga" xr:uid="{6DDEFED3-1150-45D5-AA36-2500F089AB91}"/>
    <hyperlink ref="H73" location="'Atm õhu kaitse määrus'!AB54" display="klaut linnud" xr:uid="{713D6790-99AA-46DD-8130-8217264BD76F}"/>
    <hyperlink ref="B80" location="'Atm õhu kaitse määrus'!K69" display="qCH4laut" xr:uid="{EFFA0322-4D4C-4AEB-AAD8-663CC57580E2}"/>
    <hyperlink ref="B94" location="'Atm õhu kaitse määrus'!K82" display="ksõnnikuhoidla" xr:uid="{52EFF228-BA1B-4DA8-9837-1DA579C569D8}"/>
    <hyperlink ref="B102" location="'Atm õhu kaitse määrus'!K92" display="qCH4sõnnikuhoidla" xr:uid="{4F313F09-CBBF-497A-A7FA-3B11E6EDC94A}"/>
    <hyperlink ref="B112" location="'Atm õhu kaitse määrus'!K103" display="ksõnnikuhoidla" xr:uid="{20ED9415-C7ED-4B05-8881-F19195E35441}"/>
    <hyperlink ref="B49" location="'Atm õhu kaitse määrus'!A7" display="MNsööt" xr:uid="{DB8A05ED-4E29-4503-A090-A23B55C74111}"/>
    <hyperlink ref="B72" location="'Atm õhu kaitse määrus'!A58" display="sk" xr:uid="{E80F1ACE-2901-437A-9F16-C2A069737F54}"/>
    <hyperlink ref="B92" location="'Atm õhu kaitse määrus'!A66" display="MNH3laut" xr:uid="{8C047DE4-9889-4948-AD62-61782B8206C2}"/>
    <hyperlink ref="B91" location="'Atm õhu kaitse määrus'!A58" display="sk" xr:uid="{60919053-359C-4568-8CAD-C13DABB305AA}"/>
    <hyperlink ref="B111" location="'Atm õhu kaitse määrus'!A58" display="sk" xr:uid="{2E6B6D24-D770-477F-8A43-64E891EA9C73}"/>
    <hyperlink ref="B101" location="'Atm õhu kaitse määrus'!K19" display="L" xr:uid="{6BC5B2D8-DC32-4E6F-9810-21BE4F16FB30}"/>
    <hyperlink ref="B103" location="'Atm õhu kaitse määrus'!A58" display="sk" xr:uid="{B3D8DA41-1BD6-40D3-9F3A-005486531C2B}"/>
    <hyperlink ref="B119" location="'Atm õhu kaitse määrus'!A66" display="MNH3laut" xr:uid="{41F0A02C-1CC6-4E20-A45F-F41BBE2938CA}"/>
    <hyperlink ref="B128" location="'Atm õhu kaitse määrus'!A86" display="MNH3sõnnikuhoidla" xr:uid="{22831F1C-CDED-4AAF-B541-FA2D1F597721}"/>
    <hyperlink ref="B79" location="'Atm õhu kaitse määrus'!K19" display="L" xr:uid="{4EEE4958-1705-4F82-8879-645B1810DD11}"/>
    <hyperlink ref="B142" location="'Part, kalkun'!N28" display="N rate (T)" xr:uid="{A973C957-A8FE-4CB5-BD20-CE532773775B}"/>
    <hyperlink ref="B165" location="'Part, kalkun'!P58" display="EF3 (S)" xr:uid="{5EEE62A6-56A8-458C-A614-C7A3F8B6A85D}"/>
    <hyperlink ref="B163" location="'Part, kalkun'!A29" display="Nex (T)" xr:uid="{76BC0F13-8CCF-47CA-A92D-842A7105DFCB}"/>
    <hyperlink ref="B177" location="'Part, kalkun'!A29" display="Nex (T)" xr:uid="{08885326-D445-4765-A8C5-D1BE955943C7}"/>
    <hyperlink ref="B179" location="'Part, kalkun'!P73" display="Frac gasMS" xr:uid="{5E486EDB-7009-43CA-ABDA-ABCE56217D76}"/>
    <hyperlink ref="B186" location="'Part, kalkun'!A75" display="N volatilization-MMS" xr:uid="{0521EDB8-AF65-4DFA-8C09-D4F8DE23FDD0}"/>
    <hyperlink ref="B197" location="Lambad!N119" display="EF (T)" xr:uid="{1512DEFE-CE4A-4471-8C75-CC298135BFD2}"/>
    <hyperlink ref="B216" location="Lambad!N146" display="N rate (T)" xr:uid="{C92DB18B-81A0-410B-93AD-9585980B7A93}"/>
    <hyperlink ref="B226" location="Lambad!A147" display="Nex (T)" xr:uid="{D2FBF3C0-311C-4D6E-867B-3DEBA59505AE}"/>
    <hyperlink ref="B228" location="Lambad!N152" display="EF3 (S)" xr:uid="{AD9CAF73-9FEC-44A9-AB2F-82292524B121}"/>
    <hyperlink ref="B241" location="Lambad!A147" display="Nex (T)" xr:uid="{AF982CCD-C17A-4131-8225-A0AE73FFAC40}"/>
    <hyperlink ref="B243" location="Lambad!N173" display="Frac gasMS" xr:uid="{879750BC-A2D9-4498-9919-5F9661FD576A}"/>
    <hyperlink ref="B250" location="Lambad!A171" display="N volatilization-MMS" xr:uid="{848C802A-EC79-4A63-8277-6E772C558ADE}"/>
    <hyperlink ref="B205" location="Lambad!N126" display="EF S" xr:uid="{3A1533C1-4EB3-4816-B1A4-44AD05D82316}"/>
  </hyperlinks>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485E2-A143-4154-AA33-49F6F669BBDF}">
  <dimension ref="A1:AJ174"/>
  <sheetViews>
    <sheetView zoomScale="70" zoomScaleNormal="70" workbookViewId="0">
      <selection activeCell="R144" sqref="R144"/>
    </sheetView>
  </sheetViews>
  <sheetFormatPr defaultColWidth="8.81640625" defaultRowHeight="14.5"/>
  <cols>
    <col min="1" max="1" width="37" customWidth="1"/>
    <col min="2" max="2" width="27.1796875" customWidth="1"/>
    <col min="3" max="3" width="17.81640625" customWidth="1"/>
    <col min="4" max="4" width="21" customWidth="1"/>
    <col min="6" max="7" width="27.1796875" customWidth="1"/>
    <col min="8" max="8" width="19.54296875" customWidth="1"/>
  </cols>
  <sheetData>
    <row r="1" spans="1:35" ht="19" thickBot="1">
      <c r="A1" s="1429" t="s">
        <v>2420</v>
      </c>
      <c r="B1" s="1430"/>
      <c r="C1" s="1430"/>
      <c r="D1" s="1430"/>
      <c r="E1" s="1430"/>
      <c r="F1" s="1430"/>
      <c r="G1" s="1430"/>
      <c r="H1" s="1430"/>
      <c r="I1" s="1430"/>
      <c r="J1" s="1430"/>
      <c r="K1" s="1430"/>
      <c r="L1" s="1430"/>
      <c r="M1" s="1430"/>
      <c r="N1" s="1430"/>
      <c r="O1" s="1430"/>
      <c r="P1" s="1430"/>
      <c r="Q1" s="1430"/>
      <c r="R1" s="1430"/>
      <c r="S1" s="1430"/>
      <c r="T1" s="1430"/>
      <c r="U1" s="1430"/>
      <c r="V1" s="1430"/>
      <c r="W1" s="1430"/>
      <c r="X1" s="1431"/>
    </row>
    <row r="2" spans="1:35" ht="15" thickBot="1"/>
    <row r="3" spans="1:35">
      <c r="A3" s="15" t="s">
        <v>1244</v>
      </c>
      <c r="B3" s="16"/>
      <c r="C3" s="16"/>
      <c r="D3" s="16"/>
      <c r="E3" s="17"/>
    </row>
    <row r="4" spans="1:35">
      <c r="A4" s="43" t="s">
        <v>1245</v>
      </c>
      <c r="B4" s="44"/>
      <c r="C4" s="44"/>
      <c r="D4" s="44"/>
      <c r="E4" s="21"/>
    </row>
    <row r="5" spans="1:35">
      <c r="A5" s="20" t="s">
        <v>1246</v>
      </c>
      <c r="B5" t="s">
        <v>1247</v>
      </c>
      <c r="E5" s="21"/>
    </row>
    <row r="6" spans="1:35" ht="15" thickBot="1">
      <c r="A6" s="45" t="s">
        <v>1248</v>
      </c>
      <c r="B6" s="35"/>
      <c r="C6" s="36"/>
      <c r="D6" s="36"/>
      <c r="E6" s="37"/>
    </row>
    <row r="7" spans="1:35">
      <c r="D7" s="46"/>
    </row>
    <row r="8" spans="1:35">
      <c r="A8" s="38" t="s">
        <v>528</v>
      </c>
      <c r="B8" s="39"/>
      <c r="C8" s="39"/>
      <c r="D8" s="39"/>
      <c r="E8" s="3"/>
      <c r="F8" s="3"/>
      <c r="G8" s="3"/>
      <c r="H8" s="3"/>
      <c r="I8" s="9"/>
      <c r="K8" s="38" t="s">
        <v>1249</v>
      </c>
      <c r="L8" s="39"/>
      <c r="M8" s="39"/>
      <c r="N8" s="39"/>
      <c r="O8" s="3"/>
      <c r="P8" s="3"/>
      <c r="Q8" s="3"/>
      <c r="R8" s="9"/>
    </row>
    <row r="9" spans="1:35">
      <c r="A9" s="6" t="s">
        <v>1250</v>
      </c>
      <c r="B9" t="s">
        <v>1251</v>
      </c>
      <c r="I9" s="11"/>
      <c r="K9" s="47" t="s">
        <v>1252</v>
      </c>
      <c r="L9" s="33" t="s">
        <v>1253</v>
      </c>
      <c r="M9" s="33"/>
      <c r="N9" s="33"/>
      <c r="O9" s="33"/>
      <c r="P9" s="33"/>
      <c r="Q9" s="33"/>
      <c r="R9" s="11"/>
    </row>
    <row r="10" spans="1:35">
      <c r="A10" s="47" t="s">
        <v>690</v>
      </c>
      <c r="B10" s="33" t="s">
        <v>691</v>
      </c>
      <c r="C10" s="33"/>
      <c r="D10" s="33"/>
      <c r="I10" s="11"/>
      <c r="K10" s="47" t="s">
        <v>1254</v>
      </c>
      <c r="L10" s="33" t="s">
        <v>1255</v>
      </c>
      <c r="M10" s="33"/>
      <c r="N10" s="33"/>
      <c r="O10" s="33"/>
      <c r="P10" s="33"/>
      <c r="Q10" s="33"/>
      <c r="R10" s="11"/>
      <c r="T10" t="s">
        <v>1256</v>
      </c>
      <c r="U10" t="s">
        <v>1257</v>
      </c>
    </row>
    <row r="11" spans="1:35">
      <c r="A11" s="620" t="s">
        <v>697</v>
      </c>
      <c r="B11" t="s">
        <v>1258</v>
      </c>
      <c r="I11" s="11"/>
      <c r="K11" s="47" t="s">
        <v>1259</v>
      </c>
      <c r="L11" s="33" t="s">
        <v>1260</v>
      </c>
      <c r="M11" s="33"/>
      <c r="N11" s="33"/>
      <c r="O11" s="33"/>
      <c r="P11" s="33"/>
      <c r="Q11" s="33"/>
      <c r="R11" s="11"/>
      <c r="T11" t="s">
        <v>542</v>
      </c>
      <c r="U11" t="s">
        <v>1261</v>
      </c>
      <c r="AC11" s="28" t="s">
        <v>1262</v>
      </c>
      <c r="AD11" s="28"/>
      <c r="AE11" s="28"/>
    </row>
    <row r="12" spans="1:35">
      <c r="A12" s="620" t="s">
        <v>1256</v>
      </c>
      <c r="B12" t="s">
        <v>1263</v>
      </c>
      <c r="I12" s="11"/>
      <c r="K12" s="48" t="s">
        <v>1264</v>
      </c>
      <c r="L12" s="49" t="s">
        <v>1265</v>
      </c>
      <c r="M12" s="49"/>
      <c r="N12" s="49"/>
      <c r="O12" s="49"/>
      <c r="P12" s="49"/>
      <c r="Q12" s="49"/>
      <c r="R12" s="41"/>
      <c r="T12" s="33" t="s">
        <v>552</v>
      </c>
      <c r="U12" s="33" t="s">
        <v>1266</v>
      </c>
      <c r="V12" s="33"/>
      <c r="W12" s="33"/>
      <c r="X12" s="33"/>
      <c r="Y12" s="33"/>
      <c r="Z12" s="33"/>
      <c r="AA12" s="33"/>
      <c r="AC12" t="s">
        <v>542</v>
      </c>
      <c r="AD12" t="s">
        <v>543</v>
      </c>
    </row>
    <row r="13" spans="1:35">
      <c r="A13" s="621" t="s">
        <v>1267</v>
      </c>
      <c r="B13" t="s">
        <v>1268</v>
      </c>
      <c r="I13" s="11"/>
      <c r="T13" s="622" t="s">
        <v>555</v>
      </c>
      <c r="U13" t="s">
        <v>1269</v>
      </c>
      <c r="AC13" s="33" t="s">
        <v>546</v>
      </c>
      <c r="AD13" s="33" t="s">
        <v>1270</v>
      </c>
      <c r="AE13" s="33"/>
      <c r="AF13" s="33"/>
      <c r="AG13" s="33"/>
      <c r="AH13" s="33"/>
      <c r="AI13" s="33"/>
    </row>
    <row r="14" spans="1:35">
      <c r="A14" s="621" t="s">
        <v>1271</v>
      </c>
      <c r="B14" t="s">
        <v>1272</v>
      </c>
      <c r="I14" s="11"/>
      <c r="T14" s="622" t="s">
        <v>560</v>
      </c>
      <c r="U14" t="s">
        <v>1273</v>
      </c>
      <c r="AC14" t="s">
        <v>549</v>
      </c>
      <c r="AD14" t="s">
        <v>1274</v>
      </c>
    </row>
    <row r="15" spans="1:35">
      <c r="A15" s="7" t="s">
        <v>1279</v>
      </c>
      <c r="B15" s="8" t="s">
        <v>1280</v>
      </c>
      <c r="C15" s="8"/>
      <c r="D15" s="8"/>
      <c r="E15" s="8"/>
      <c r="F15" s="8"/>
      <c r="G15" s="8"/>
      <c r="H15" s="8"/>
      <c r="I15" s="41"/>
      <c r="T15" s="33" t="s">
        <v>562</v>
      </c>
      <c r="U15" s="33" t="s">
        <v>1278</v>
      </c>
      <c r="V15" s="33"/>
      <c r="W15" s="33"/>
      <c r="X15" s="33"/>
      <c r="Y15" s="33"/>
      <c r="Z15" s="33"/>
      <c r="AA15" s="33"/>
    </row>
    <row r="16" spans="1:35">
      <c r="T16" s="622" t="s">
        <v>566</v>
      </c>
      <c r="U16" t="s">
        <v>1281</v>
      </c>
    </row>
    <row r="17" spans="1:35">
      <c r="T17" s="622" t="s">
        <v>569</v>
      </c>
      <c r="U17" t="s">
        <v>1282</v>
      </c>
    </row>
    <row r="18" spans="1:35">
      <c r="A18" s="38" t="s">
        <v>606</v>
      </c>
      <c r="B18" s="39"/>
      <c r="C18" s="39"/>
      <c r="D18" s="3"/>
      <c r="E18" s="3"/>
      <c r="F18" s="9"/>
    </row>
    <row r="19" spans="1:35">
      <c r="A19" s="6" t="s">
        <v>607</v>
      </c>
      <c r="B19" t="s">
        <v>1283</v>
      </c>
      <c r="F19" s="11"/>
    </row>
    <row r="20" spans="1:35">
      <c r="A20" s="47" t="s">
        <v>610</v>
      </c>
      <c r="B20" s="33" t="s">
        <v>511</v>
      </c>
      <c r="C20" s="33"/>
      <c r="D20" s="33"/>
      <c r="F20" s="11"/>
    </row>
    <row r="21" spans="1:35">
      <c r="A21" s="6" t="s">
        <v>613</v>
      </c>
      <c r="B21" t="s">
        <v>614</v>
      </c>
      <c r="F21" s="11"/>
    </row>
    <row r="22" spans="1:35">
      <c r="A22" s="47" t="s">
        <v>617</v>
      </c>
      <c r="B22" s="33" t="s">
        <v>519</v>
      </c>
      <c r="C22" s="33"/>
      <c r="D22" s="33"/>
      <c r="F22" s="11"/>
    </row>
    <row r="23" spans="1:35">
      <c r="A23" s="7" t="s">
        <v>619</v>
      </c>
      <c r="B23" s="8" t="s">
        <v>620</v>
      </c>
      <c r="C23" s="8"/>
      <c r="D23" s="8"/>
      <c r="E23" s="8"/>
      <c r="F23" s="41"/>
      <c r="T23" t="s">
        <v>1267</v>
      </c>
      <c r="U23" t="s">
        <v>1284</v>
      </c>
    </row>
    <row r="24" spans="1:35">
      <c r="T24" t="s">
        <v>542</v>
      </c>
      <c r="U24" t="s">
        <v>1285</v>
      </c>
      <c r="AC24" s="28" t="s">
        <v>1262</v>
      </c>
      <c r="AD24" s="28"/>
      <c r="AE24" s="28"/>
    </row>
    <row r="25" spans="1:35">
      <c r="A25" s="38" t="s">
        <v>626</v>
      </c>
      <c r="B25" s="39"/>
      <c r="C25" s="39"/>
      <c r="D25" s="39"/>
      <c r="E25" s="3"/>
      <c r="F25" s="9"/>
      <c r="T25" s="33" t="s">
        <v>552</v>
      </c>
      <c r="U25" s="33" t="s">
        <v>1286</v>
      </c>
      <c r="V25" s="33"/>
      <c r="W25" s="33"/>
      <c r="X25" s="33"/>
      <c r="Y25" s="33"/>
      <c r="Z25" s="33"/>
      <c r="AA25" s="33"/>
      <c r="AC25" t="s">
        <v>542</v>
      </c>
      <c r="AD25" t="s">
        <v>574</v>
      </c>
    </row>
    <row r="26" spans="1:35">
      <c r="A26" s="6" t="s">
        <v>628</v>
      </c>
      <c r="B26" t="s">
        <v>629</v>
      </c>
      <c r="F26" s="11"/>
      <c r="T26" s="622" t="s">
        <v>560</v>
      </c>
      <c r="U26" t="s">
        <v>1287</v>
      </c>
      <c r="AC26" s="33" t="s">
        <v>546</v>
      </c>
      <c r="AD26" s="33" t="s">
        <v>576</v>
      </c>
      <c r="AE26" s="33"/>
      <c r="AF26" s="33"/>
      <c r="AG26" s="33"/>
      <c r="AH26" s="33"/>
      <c r="AI26" s="33"/>
    </row>
    <row r="27" spans="1:35">
      <c r="A27" s="620" t="s">
        <v>632</v>
      </c>
      <c r="B27" t="s">
        <v>633</v>
      </c>
      <c r="F27" s="11"/>
      <c r="H27" t="s">
        <v>699</v>
      </c>
      <c r="I27" t="s">
        <v>1288</v>
      </c>
      <c r="T27" s="33" t="s">
        <v>562</v>
      </c>
      <c r="U27" s="33" t="s">
        <v>1289</v>
      </c>
      <c r="V27" s="33"/>
      <c r="W27" s="33"/>
      <c r="X27" s="33"/>
      <c r="Y27" s="33"/>
      <c r="Z27" s="33"/>
      <c r="AA27" s="33"/>
      <c r="AC27" t="s">
        <v>549</v>
      </c>
      <c r="AD27" t="s">
        <v>1274</v>
      </c>
    </row>
    <row r="28" spans="1:35">
      <c r="A28" s="620" t="s">
        <v>646</v>
      </c>
      <c r="B28" t="s">
        <v>647</v>
      </c>
      <c r="F28" s="11"/>
      <c r="H28" s="33" t="s">
        <v>635</v>
      </c>
      <c r="I28" s="33" t="s">
        <v>636</v>
      </c>
      <c r="J28" s="33"/>
      <c r="K28" s="33"/>
      <c r="L28" s="33"/>
      <c r="T28" s="622" t="s">
        <v>1290</v>
      </c>
      <c r="U28" t="s">
        <v>1291</v>
      </c>
    </row>
    <row r="29" spans="1:35">
      <c r="A29" s="6" t="s">
        <v>652</v>
      </c>
      <c r="B29" t="s">
        <v>653</v>
      </c>
      <c r="F29" s="11"/>
      <c r="H29" t="s">
        <v>639</v>
      </c>
      <c r="I29" t="s">
        <v>640</v>
      </c>
      <c r="T29" s="622" t="s">
        <v>569</v>
      </c>
      <c r="U29" t="s">
        <v>1292</v>
      </c>
    </row>
    <row r="30" spans="1:35">
      <c r="A30" s="7" t="s">
        <v>655</v>
      </c>
      <c r="B30" s="8" t="s">
        <v>656</v>
      </c>
      <c r="C30" s="8"/>
      <c r="D30" s="8"/>
      <c r="E30" s="8"/>
      <c r="F30" s="41"/>
      <c r="H30" t="s">
        <v>641</v>
      </c>
      <c r="I30" t="s">
        <v>642</v>
      </c>
    </row>
    <row r="31" spans="1:35">
      <c r="H31" t="s">
        <v>2421</v>
      </c>
    </row>
    <row r="32" spans="1:35">
      <c r="A32" s="2" t="s">
        <v>624</v>
      </c>
      <c r="B32" s="2" t="s">
        <v>516</v>
      </c>
      <c r="C32" s="3" t="s">
        <v>19</v>
      </c>
      <c r="D32" s="3" t="s">
        <v>1232</v>
      </c>
      <c r="E32" s="3" t="s">
        <v>1233</v>
      </c>
      <c r="F32" s="9"/>
    </row>
    <row r="33" spans="1:36">
      <c r="A33" s="4" t="s">
        <v>1279</v>
      </c>
      <c r="B33" s="5">
        <v>0.01</v>
      </c>
      <c r="C33" s="5" t="s">
        <v>418</v>
      </c>
      <c r="D33" s="5" t="s">
        <v>1293</v>
      </c>
      <c r="E33" s="5" t="s">
        <v>1294</v>
      </c>
      <c r="F33" s="10" t="s">
        <v>1295</v>
      </c>
    </row>
    <row r="34" spans="1:36">
      <c r="A34" s="4" t="s">
        <v>613</v>
      </c>
      <c r="B34" s="5">
        <v>8</v>
      </c>
      <c r="C34" s="5" t="s">
        <v>615</v>
      </c>
      <c r="D34" s="5" t="s">
        <v>1293</v>
      </c>
      <c r="E34" s="5" t="s">
        <v>1296</v>
      </c>
      <c r="F34" s="10" t="s">
        <v>1295</v>
      </c>
    </row>
    <row r="35" spans="1:36">
      <c r="A35" s="4" t="s">
        <v>619</v>
      </c>
      <c r="B35" s="5">
        <v>8</v>
      </c>
      <c r="C35" s="5" t="s">
        <v>615</v>
      </c>
      <c r="D35" s="5" t="s">
        <v>1293</v>
      </c>
      <c r="E35" s="5" t="s">
        <v>1297</v>
      </c>
      <c r="F35" s="10" t="s">
        <v>1295</v>
      </c>
    </row>
    <row r="36" spans="1:36">
      <c r="A36" s="4" t="s">
        <v>1298</v>
      </c>
      <c r="B36" s="5">
        <v>0.02</v>
      </c>
      <c r="C36" s="5" t="s">
        <v>418</v>
      </c>
      <c r="D36" s="5" t="s">
        <v>1293</v>
      </c>
      <c r="E36" s="5" t="s">
        <v>1299</v>
      </c>
      <c r="F36" s="10" t="s">
        <v>1295</v>
      </c>
      <c r="T36" t="s">
        <v>1271</v>
      </c>
      <c r="U36" t="s">
        <v>1300</v>
      </c>
    </row>
    <row r="37" spans="1:36">
      <c r="A37" s="4" t="s">
        <v>1301</v>
      </c>
      <c r="B37" s="5">
        <v>0.01</v>
      </c>
      <c r="C37" s="5" t="s">
        <v>418</v>
      </c>
      <c r="D37" s="5" t="s">
        <v>1293</v>
      </c>
      <c r="E37" s="5" t="s">
        <v>1302</v>
      </c>
      <c r="F37" s="10" t="s">
        <v>1295</v>
      </c>
      <c r="T37" t="s">
        <v>586</v>
      </c>
      <c r="U37" t="s">
        <v>1303</v>
      </c>
      <c r="AC37" s="28" t="s">
        <v>1304</v>
      </c>
      <c r="AD37" s="28"/>
      <c r="AE37" s="28"/>
    </row>
    <row r="38" spans="1:36">
      <c r="A38" s="6" t="s">
        <v>1298</v>
      </c>
      <c r="B38">
        <v>4.0000000000000001E-3</v>
      </c>
      <c r="C38" t="s">
        <v>418</v>
      </c>
      <c r="D38" t="s">
        <v>1306</v>
      </c>
      <c r="E38" t="s">
        <v>1307</v>
      </c>
      <c r="F38" s="11"/>
      <c r="T38" s="33" t="s">
        <v>590</v>
      </c>
      <c r="U38" s="33" t="s">
        <v>591</v>
      </c>
      <c r="V38" s="33"/>
      <c r="W38" s="33"/>
      <c r="X38" s="33"/>
      <c r="Y38" s="33"/>
      <c r="Z38" s="33"/>
      <c r="AA38" s="33"/>
      <c r="AC38" t="s">
        <v>586</v>
      </c>
      <c r="AD38" t="s">
        <v>1308</v>
      </c>
    </row>
    <row r="39" spans="1:36">
      <c r="A39" s="7" t="s">
        <v>1301</v>
      </c>
      <c r="B39" s="8">
        <v>3.0000000000000001E-3</v>
      </c>
      <c r="C39" s="8" t="s">
        <v>418</v>
      </c>
      <c r="D39" s="8" t="s">
        <v>1306</v>
      </c>
      <c r="E39" s="8" t="s">
        <v>1310</v>
      </c>
      <c r="F39" s="41"/>
      <c r="T39" s="622" t="s">
        <v>592</v>
      </c>
      <c r="U39" t="s">
        <v>1311</v>
      </c>
      <c r="AC39" s="33" t="s">
        <v>588</v>
      </c>
      <c r="AD39" s="33" t="s">
        <v>1312</v>
      </c>
      <c r="AE39" s="33"/>
      <c r="AF39" s="33"/>
      <c r="AG39" s="33"/>
      <c r="AH39" s="33"/>
      <c r="AI39" s="33"/>
      <c r="AJ39" s="33"/>
    </row>
    <row r="40" spans="1:36">
      <c r="T40" s="33" t="s">
        <v>595</v>
      </c>
      <c r="U40" s="33" t="s">
        <v>1313</v>
      </c>
      <c r="V40" s="33"/>
      <c r="AC40" t="s">
        <v>549</v>
      </c>
      <c r="AD40" t="s">
        <v>1274</v>
      </c>
    </row>
    <row r="41" spans="1:36">
      <c r="T41" s="622" t="s">
        <v>597</v>
      </c>
      <c r="U41" t="s">
        <v>1314</v>
      </c>
    </row>
    <row r="42" spans="1:36">
      <c r="T42" s="622" t="s">
        <v>599</v>
      </c>
      <c r="U42" t="s">
        <v>1315</v>
      </c>
    </row>
    <row r="43" spans="1:36" ht="15" thickBot="1"/>
    <row r="44" spans="1:36" ht="19" thickBot="1">
      <c r="A44" s="1429" t="s">
        <v>2422</v>
      </c>
      <c r="B44" s="1430"/>
      <c r="C44" s="1430"/>
      <c r="D44" s="1430"/>
      <c r="E44" s="1430"/>
      <c r="F44" s="1430"/>
      <c r="G44" s="1430"/>
      <c r="H44" s="1430"/>
      <c r="I44" s="1430"/>
      <c r="J44" s="1430"/>
      <c r="K44" s="1430"/>
      <c r="L44" s="1430"/>
      <c r="M44" s="1430"/>
      <c r="N44" s="1430"/>
      <c r="O44" s="1430"/>
      <c r="P44" s="1430"/>
      <c r="Q44" s="1430"/>
      <c r="R44" s="1430"/>
      <c r="S44" s="1430"/>
      <c r="T44" s="1430"/>
      <c r="U44" s="1430"/>
      <c r="V44" s="1430"/>
      <c r="W44" s="1430"/>
      <c r="X44" s="1431"/>
    </row>
    <row r="45" spans="1:36" ht="15" thickBot="1"/>
    <row r="46" spans="1:36">
      <c r="A46" s="55" t="s">
        <v>684</v>
      </c>
      <c r="B46" s="56"/>
      <c r="C46" s="56"/>
      <c r="D46" s="16"/>
      <c r="E46" s="16"/>
      <c r="F46" s="16"/>
      <c r="G46" s="16"/>
      <c r="H46" s="16"/>
      <c r="I46" s="16"/>
      <c r="J46" s="16"/>
      <c r="K46" s="16"/>
      <c r="L46" s="16"/>
      <c r="M46" s="16"/>
      <c r="N46" s="16"/>
      <c r="O46" s="16"/>
      <c r="P46" s="16"/>
      <c r="Q46" s="16"/>
      <c r="R46" s="16"/>
      <c r="S46" s="17"/>
    </row>
    <row r="47" spans="1:36">
      <c r="A47" s="20" t="s">
        <v>686</v>
      </c>
      <c r="B47" t="s">
        <v>687</v>
      </c>
      <c r="S47" s="21"/>
    </row>
    <row r="48" spans="1:36">
      <c r="A48" s="32" t="s">
        <v>690</v>
      </c>
      <c r="B48" s="33" t="s">
        <v>691</v>
      </c>
      <c r="C48" s="33"/>
      <c r="S48" s="21"/>
    </row>
    <row r="49" spans="1:19">
      <c r="A49" s="20" t="s">
        <v>693</v>
      </c>
      <c r="B49" t="s">
        <v>1316</v>
      </c>
      <c r="S49" s="21"/>
    </row>
    <row r="50" spans="1:19">
      <c r="A50" s="32" t="s">
        <v>697</v>
      </c>
      <c r="B50" s="33" t="s">
        <v>1258</v>
      </c>
      <c r="C50" s="33"/>
      <c r="D50" s="33"/>
      <c r="E50" s="33"/>
      <c r="F50" s="33"/>
      <c r="G50" s="33"/>
      <c r="S50" s="21"/>
    </row>
    <row r="51" spans="1:19">
      <c r="A51" s="20" t="s">
        <v>699</v>
      </c>
      <c r="B51" t="s">
        <v>1288</v>
      </c>
      <c r="S51" s="21"/>
    </row>
    <row r="52" spans="1:19">
      <c r="A52" s="20" t="s">
        <v>701</v>
      </c>
      <c r="B52" t="s">
        <v>1317</v>
      </c>
      <c r="S52" s="21"/>
    </row>
    <row r="53" spans="1:19">
      <c r="A53" s="20" t="s">
        <v>704</v>
      </c>
      <c r="B53" t="s">
        <v>1318</v>
      </c>
      <c r="S53" s="21"/>
    </row>
    <row r="54" spans="1:19" ht="15" thickBot="1">
      <c r="A54" s="45" t="s">
        <v>708</v>
      </c>
      <c r="B54" s="35"/>
      <c r="C54" s="35"/>
      <c r="D54" s="36"/>
      <c r="E54" s="36"/>
      <c r="F54" s="36"/>
      <c r="G54" s="36"/>
      <c r="H54" s="36"/>
      <c r="I54" s="36"/>
      <c r="J54" s="36"/>
      <c r="K54" s="36"/>
      <c r="L54" s="36"/>
      <c r="M54" s="36"/>
      <c r="N54" s="36"/>
      <c r="O54" s="36"/>
      <c r="P54" s="36"/>
      <c r="Q54" s="36"/>
      <c r="R54" s="36"/>
      <c r="S54" s="37"/>
    </row>
    <row r="55" spans="1:19" ht="15" thickBot="1"/>
    <row r="56" spans="1:19">
      <c r="A56" s="55" t="s">
        <v>710</v>
      </c>
      <c r="B56" s="56"/>
      <c r="C56" s="56"/>
      <c r="D56" s="16"/>
      <c r="E56" s="16"/>
      <c r="F56" s="16"/>
      <c r="G56" s="16"/>
      <c r="H56" s="16"/>
      <c r="I56" s="16"/>
      <c r="J56" s="16"/>
      <c r="K56" s="16"/>
      <c r="L56" s="16"/>
      <c r="M56" s="16"/>
      <c r="N56" s="16"/>
      <c r="O56" s="16"/>
      <c r="P56" s="16"/>
      <c r="Q56" s="16"/>
      <c r="R56" s="16"/>
      <c r="S56" s="17"/>
    </row>
    <row r="57" spans="1:19">
      <c r="A57" s="20" t="s">
        <v>711</v>
      </c>
      <c r="B57" t="s">
        <v>1319</v>
      </c>
      <c r="S57" s="21"/>
    </row>
    <row r="58" spans="1:19">
      <c r="A58" s="32" t="s">
        <v>690</v>
      </c>
      <c r="B58" s="33" t="s">
        <v>691</v>
      </c>
      <c r="C58" s="33"/>
      <c r="S58" s="21"/>
    </row>
    <row r="59" spans="1:19">
      <c r="A59" s="32" t="s">
        <v>697</v>
      </c>
      <c r="B59" s="33" t="s">
        <v>1258</v>
      </c>
      <c r="C59" s="33"/>
      <c r="S59" s="21"/>
    </row>
    <row r="60" spans="1:19">
      <c r="A60" s="20" t="s">
        <v>699</v>
      </c>
      <c r="B60" t="s">
        <v>1288</v>
      </c>
      <c r="S60" s="21"/>
    </row>
    <row r="61" spans="1:19">
      <c r="A61" s="20" t="s">
        <v>715</v>
      </c>
      <c r="B61" t="s">
        <v>716</v>
      </c>
      <c r="S61" s="21"/>
    </row>
    <row r="62" spans="1:19">
      <c r="A62" s="20" t="s">
        <v>1275</v>
      </c>
      <c r="B62" t="s">
        <v>1276</v>
      </c>
      <c r="H62" t="s">
        <v>1320</v>
      </c>
      <c r="S62" s="21"/>
    </row>
    <row r="63" spans="1:19">
      <c r="A63" s="20" t="s">
        <v>717</v>
      </c>
      <c r="B63" t="s">
        <v>1321</v>
      </c>
      <c r="S63" s="21"/>
    </row>
    <row r="64" spans="1:19">
      <c r="A64" s="20" t="s">
        <v>721</v>
      </c>
      <c r="B64" t="s">
        <v>1322</v>
      </c>
      <c r="S64" s="21"/>
    </row>
    <row r="65" spans="1:24" ht="15" thickBot="1">
      <c r="A65" s="45" t="s">
        <v>727</v>
      </c>
      <c r="B65" s="35"/>
      <c r="C65" s="35"/>
      <c r="D65" s="36"/>
      <c r="E65" s="36"/>
      <c r="F65" s="36"/>
      <c r="G65" s="36"/>
      <c r="H65" s="36"/>
      <c r="I65" s="36"/>
      <c r="J65" s="36"/>
      <c r="K65" s="36"/>
      <c r="L65" s="36"/>
      <c r="M65" s="36"/>
      <c r="N65" s="36"/>
      <c r="O65" s="36"/>
      <c r="P65" s="36"/>
      <c r="Q65" s="36"/>
      <c r="R65" s="36"/>
      <c r="S65" s="37"/>
    </row>
    <row r="66" spans="1:24" ht="15" thickBot="1"/>
    <row r="67" spans="1:24">
      <c r="A67" s="15" t="s">
        <v>624</v>
      </c>
      <c r="B67" s="16" t="s">
        <v>516</v>
      </c>
      <c r="C67" s="16" t="s">
        <v>19</v>
      </c>
      <c r="D67" s="16" t="s">
        <v>1232</v>
      </c>
      <c r="E67" s="16" t="s">
        <v>1233</v>
      </c>
      <c r="F67" s="16"/>
      <c r="G67" s="16"/>
      <c r="H67" s="17"/>
    </row>
    <row r="68" spans="1:24">
      <c r="A68" s="18" t="s">
        <v>704</v>
      </c>
      <c r="B68" s="5">
        <v>0.01</v>
      </c>
      <c r="C68" s="5" t="s">
        <v>418</v>
      </c>
      <c r="D68" s="5" t="s">
        <v>1323</v>
      </c>
      <c r="E68" s="5" t="s">
        <v>1324</v>
      </c>
      <c r="F68" s="5"/>
      <c r="G68" s="5"/>
      <c r="H68" s="19" t="s">
        <v>1295</v>
      </c>
    </row>
    <row r="69" spans="1:24">
      <c r="A69" s="20" t="s">
        <v>721</v>
      </c>
      <c r="B69">
        <v>7.4999999999999997E-3</v>
      </c>
      <c r="C69" t="s">
        <v>418</v>
      </c>
      <c r="D69" t="s">
        <v>1293</v>
      </c>
      <c r="E69" t="s">
        <v>1325</v>
      </c>
      <c r="H69" s="21" t="s">
        <v>1295</v>
      </c>
    </row>
    <row r="70" spans="1:24">
      <c r="A70" s="18" t="s">
        <v>721</v>
      </c>
      <c r="B70" s="5">
        <v>1.0999999999999999E-2</v>
      </c>
      <c r="C70" s="5" t="s">
        <v>418</v>
      </c>
      <c r="D70" s="5" t="s">
        <v>1306</v>
      </c>
      <c r="E70" s="5" t="s">
        <v>1326</v>
      </c>
      <c r="F70" s="5"/>
      <c r="G70" s="5"/>
      <c r="H70" s="19"/>
    </row>
    <row r="71" spans="1:24">
      <c r="A71" s="20" t="s">
        <v>693</v>
      </c>
      <c r="B71">
        <v>0.1</v>
      </c>
      <c r="C71" t="s">
        <v>695</v>
      </c>
      <c r="D71" t="s">
        <v>1293</v>
      </c>
      <c r="E71" t="s">
        <v>1327</v>
      </c>
      <c r="H71" s="21" t="s">
        <v>1295</v>
      </c>
    </row>
    <row r="72" spans="1:24">
      <c r="A72" s="18" t="s">
        <v>693</v>
      </c>
      <c r="B72" s="5">
        <v>0.11</v>
      </c>
      <c r="C72" s="5" t="s">
        <v>695</v>
      </c>
      <c r="D72" s="5" t="s">
        <v>1306</v>
      </c>
      <c r="E72" s="5" t="s">
        <v>1328</v>
      </c>
      <c r="F72" s="5"/>
      <c r="G72" s="5"/>
      <c r="H72" s="19"/>
    </row>
    <row r="73" spans="1:24">
      <c r="A73" s="20" t="s">
        <v>701</v>
      </c>
      <c r="B73">
        <v>0.2</v>
      </c>
      <c r="C73" t="s">
        <v>1329</v>
      </c>
      <c r="D73" t="s">
        <v>1293</v>
      </c>
      <c r="E73" t="s">
        <v>1330</v>
      </c>
      <c r="H73" s="21" t="s">
        <v>1295</v>
      </c>
    </row>
    <row r="74" spans="1:24">
      <c r="A74" s="18" t="s">
        <v>701</v>
      </c>
      <c r="B74" s="5">
        <v>0.21</v>
      </c>
      <c r="C74" s="5" t="s">
        <v>1329</v>
      </c>
      <c r="D74" s="5" t="s">
        <v>1306</v>
      </c>
      <c r="E74" s="5" t="s">
        <v>1331</v>
      </c>
      <c r="F74" s="5"/>
      <c r="G74" s="5"/>
      <c r="H74" s="19"/>
    </row>
    <row r="75" spans="1:24">
      <c r="A75" s="20" t="s">
        <v>717</v>
      </c>
      <c r="B75">
        <v>0.3</v>
      </c>
      <c r="C75" t="s">
        <v>719</v>
      </c>
      <c r="D75" t="s">
        <v>1293</v>
      </c>
      <c r="E75" t="s">
        <v>1332</v>
      </c>
      <c r="H75" s="21" t="s">
        <v>1295</v>
      </c>
    </row>
    <row r="76" spans="1:24" ht="15" thickBot="1">
      <c r="A76" s="22" t="s">
        <v>717</v>
      </c>
      <c r="B76" s="23">
        <v>0.24</v>
      </c>
      <c r="C76" s="23" t="s">
        <v>719</v>
      </c>
      <c r="D76" s="23" t="s">
        <v>1306</v>
      </c>
      <c r="E76" s="23" t="s">
        <v>1333</v>
      </c>
      <c r="F76" s="23"/>
      <c r="G76" s="23"/>
      <c r="H76" s="24"/>
    </row>
    <row r="78" spans="1:24" ht="15" thickBot="1"/>
    <row r="79" spans="1:24" ht="19" thickBot="1">
      <c r="A79" s="1429" t="s">
        <v>2423</v>
      </c>
      <c r="B79" s="1430"/>
      <c r="C79" s="1430"/>
      <c r="D79" s="1430"/>
      <c r="E79" s="1430"/>
      <c r="F79" s="1430"/>
      <c r="G79" s="1430"/>
      <c r="H79" s="1430"/>
      <c r="I79" s="1430"/>
      <c r="J79" s="1430"/>
      <c r="K79" s="1430"/>
      <c r="L79" s="1430"/>
      <c r="M79" s="1430"/>
      <c r="N79" s="1430"/>
      <c r="O79" s="1430"/>
      <c r="P79" s="1430"/>
      <c r="Q79" s="1430"/>
      <c r="R79" s="1430"/>
      <c r="S79" s="1430"/>
      <c r="T79" s="1430"/>
      <c r="U79" s="1430"/>
      <c r="V79" s="1430"/>
      <c r="W79" s="1430"/>
      <c r="X79" s="1431"/>
    </row>
    <row r="81" spans="1:6" ht="15" thickBot="1"/>
    <row r="82" spans="1:6">
      <c r="B82" s="15" t="s">
        <v>1224</v>
      </c>
      <c r="C82" s="16"/>
      <c r="D82" s="16"/>
      <c r="E82" s="16"/>
      <c r="F82" s="17"/>
    </row>
    <row r="83" spans="1:6">
      <c r="B83" s="30" t="s">
        <v>521</v>
      </c>
      <c r="C83" s="28"/>
      <c r="D83" s="28"/>
      <c r="E83" s="28"/>
      <c r="F83" s="21"/>
    </row>
    <row r="84" spans="1:6">
      <c r="B84" s="20" t="s">
        <v>1225</v>
      </c>
      <c r="C84" t="s">
        <v>1226</v>
      </c>
      <c r="F84" s="21"/>
    </row>
    <row r="85" spans="1:6">
      <c r="B85" s="20" t="s">
        <v>1227</v>
      </c>
      <c r="C85" s="31" t="s">
        <v>1228</v>
      </c>
      <c r="F85" s="21"/>
    </row>
    <row r="86" spans="1:6">
      <c r="B86" s="32" t="s">
        <v>1229</v>
      </c>
      <c r="C86" s="33" t="s">
        <v>1230</v>
      </c>
      <c r="D86" s="33"/>
      <c r="E86" s="33"/>
      <c r="F86" s="21"/>
    </row>
    <row r="87" spans="1:6">
      <c r="B87" s="20"/>
      <c r="F87" s="21"/>
    </row>
    <row r="88" spans="1:6" ht="15" thickBot="1">
      <c r="B88" s="34" t="s">
        <v>1231</v>
      </c>
      <c r="C88" s="35"/>
      <c r="D88" s="35"/>
      <c r="E88" s="36"/>
      <c r="F88" s="37"/>
    </row>
    <row r="90" spans="1:6">
      <c r="A90" s="2"/>
      <c r="B90" s="3" t="s">
        <v>1227</v>
      </c>
      <c r="C90" s="3" t="s">
        <v>19</v>
      </c>
      <c r="D90" s="3" t="s">
        <v>1232</v>
      </c>
      <c r="E90" s="3" t="s">
        <v>1233</v>
      </c>
      <c r="F90" s="9"/>
    </row>
    <row r="91" spans="1:6">
      <c r="A91" s="4" t="s">
        <v>1234</v>
      </c>
      <c r="B91" s="5">
        <v>5</v>
      </c>
      <c r="C91" s="5" t="s">
        <v>1235</v>
      </c>
      <c r="D91" s="5" t="s">
        <v>1236</v>
      </c>
      <c r="E91" s="5" t="s">
        <v>1237</v>
      </c>
      <c r="F91" s="10"/>
    </row>
    <row r="92" spans="1:6">
      <c r="A92" s="6" t="s">
        <v>1234</v>
      </c>
      <c r="B92">
        <v>6.1</v>
      </c>
      <c r="C92" t="s">
        <v>1235</v>
      </c>
      <c r="D92" t="s">
        <v>1238</v>
      </c>
      <c r="E92" t="s">
        <v>1239</v>
      </c>
      <c r="F92" s="11"/>
    </row>
    <row r="93" spans="1:6">
      <c r="A93" s="4" t="s">
        <v>1240</v>
      </c>
      <c r="B93" s="5">
        <v>0.25</v>
      </c>
      <c r="C93" s="5" t="s">
        <v>1235</v>
      </c>
      <c r="D93" s="5" t="s">
        <v>1236</v>
      </c>
      <c r="E93" s="5" t="s">
        <v>1241</v>
      </c>
      <c r="F93" s="10"/>
    </row>
    <row r="94" spans="1:6">
      <c r="A94" s="7" t="s">
        <v>1240</v>
      </c>
      <c r="B94" s="8">
        <v>1.4950000000000001</v>
      </c>
      <c r="C94" s="8" t="s">
        <v>1235</v>
      </c>
      <c r="D94" s="8" t="s">
        <v>1238</v>
      </c>
      <c r="E94" s="8" t="s">
        <v>1242</v>
      </c>
      <c r="F94" s="41"/>
    </row>
    <row r="97" spans="1:24" ht="15" thickBot="1"/>
    <row r="98" spans="1:24" ht="15" thickBot="1">
      <c r="B98" s="52"/>
      <c r="C98" s="53" t="s">
        <v>1243</v>
      </c>
      <c r="D98" s="53"/>
      <c r="E98" s="54"/>
    </row>
    <row r="99" spans="1:24" ht="15" thickBot="1"/>
    <row r="100" spans="1:24" ht="19" thickBot="1">
      <c r="A100" s="1429" t="s">
        <v>2424</v>
      </c>
      <c r="B100" s="1430"/>
      <c r="C100" s="1430"/>
      <c r="D100" s="1430"/>
      <c r="E100" s="1430"/>
      <c r="F100" s="1430"/>
      <c r="G100" s="1430"/>
      <c r="H100" s="1430"/>
      <c r="I100" s="1430"/>
      <c r="J100" s="1430"/>
      <c r="K100" s="1430"/>
      <c r="L100" s="1430"/>
      <c r="M100" s="1430"/>
      <c r="N100" s="1430"/>
      <c r="O100" s="1430"/>
      <c r="P100" s="1430"/>
      <c r="Q100" s="1430"/>
      <c r="R100" s="1430"/>
      <c r="S100" s="1430"/>
      <c r="T100" s="1430"/>
      <c r="U100" s="1430"/>
      <c r="V100" s="1430"/>
      <c r="W100" s="1430"/>
      <c r="X100" s="1431"/>
    </row>
    <row r="102" spans="1:24" ht="15" thickBot="1"/>
    <row r="103" spans="1:24">
      <c r="A103" s="55" t="s">
        <v>674</v>
      </c>
      <c r="B103" s="56"/>
      <c r="C103" s="56"/>
      <c r="D103" s="56"/>
      <c r="E103" s="56"/>
      <c r="F103" s="56"/>
      <c r="G103" s="56"/>
      <c r="H103" s="17"/>
    </row>
    <row r="104" spans="1:24">
      <c r="A104" s="20" t="s">
        <v>1334</v>
      </c>
      <c r="B104" t="s">
        <v>1335</v>
      </c>
      <c r="H104" s="21"/>
    </row>
    <row r="105" spans="1:24">
      <c r="A105" s="32" t="s">
        <v>676</v>
      </c>
      <c r="B105" s="33" t="s">
        <v>677</v>
      </c>
      <c r="C105" s="33"/>
      <c r="D105" s="33"/>
      <c r="E105" s="33"/>
      <c r="F105" s="33"/>
      <c r="G105" s="33"/>
      <c r="H105" s="21"/>
    </row>
    <row r="106" spans="1:24">
      <c r="A106" s="32" t="s">
        <v>679</v>
      </c>
      <c r="B106" s="33" t="s">
        <v>680</v>
      </c>
      <c r="C106" s="33"/>
      <c r="D106" s="33"/>
      <c r="E106" s="33"/>
      <c r="F106" s="33"/>
      <c r="G106" s="33"/>
      <c r="H106" s="57"/>
    </row>
    <row r="107" spans="1:24">
      <c r="A107" s="20" t="s">
        <v>1336</v>
      </c>
      <c r="B107" t="s">
        <v>1337</v>
      </c>
      <c r="H107" s="21"/>
    </row>
    <row r="108" spans="1:24" ht="15" thickBot="1">
      <c r="A108" s="58" t="s">
        <v>1338</v>
      </c>
      <c r="B108" s="36" t="s">
        <v>1339</v>
      </c>
      <c r="C108" s="36"/>
      <c r="D108" s="36"/>
      <c r="E108" s="36"/>
      <c r="F108" s="36"/>
      <c r="G108" s="36"/>
      <c r="H108" s="37"/>
    </row>
    <row r="109" spans="1:24" ht="15" thickBot="1"/>
    <row r="110" spans="1:24">
      <c r="A110" s="15" t="s">
        <v>624</v>
      </c>
      <c r="B110" s="25" t="s">
        <v>516</v>
      </c>
      <c r="C110" s="16" t="s">
        <v>19</v>
      </c>
      <c r="D110" s="16" t="s">
        <v>1232</v>
      </c>
      <c r="E110" s="16" t="s">
        <v>1233</v>
      </c>
      <c r="F110" s="16"/>
      <c r="G110" s="16"/>
      <c r="H110" s="16"/>
      <c r="I110" s="17"/>
    </row>
    <row r="111" spans="1:24">
      <c r="A111" s="18" t="s">
        <v>1336</v>
      </c>
      <c r="B111" s="5">
        <v>0.12</v>
      </c>
      <c r="C111" s="5" t="s">
        <v>1340</v>
      </c>
      <c r="D111" s="5" t="s">
        <v>1293</v>
      </c>
      <c r="E111" s="5" t="s">
        <v>1341</v>
      </c>
      <c r="F111" s="5"/>
      <c r="G111" s="5" t="s">
        <v>1342</v>
      </c>
      <c r="H111" s="5"/>
      <c r="I111" s="19"/>
    </row>
    <row r="112" spans="1:24" ht="15" thickBot="1">
      <c r="A112" s="22" t="s">
        <v>1338</v>
      </c>
      <c r="B112" s="23">
        <v>0.13</v>
      </c>
      <c r="C112" s="23" t="s">
        <v>1343</v>
      </c>
      <c r="D112" s="23" t="s">
        <v>1293</v>
      </c>
      <c r="E112" s="23" t="s">
        <v>1341</v>
      </c>
      <c r="F112" s="23"/>
      <c r="G112" s="23" t="s">
        <v>1342</v>
      </c>
      <c r="H112" s="23"/>
      <c r="I112" s="24"/>
    </row>
    <row r="114" spans="1:24">
      <c r="A114" s="38" t="s">
        <v>1344</v>
      </c>
      <c r="B114" s="39"/>
      <c r="C114" s="39"/>
      <c r="D114" s="3"/>
      <c r="E114" s="3"/>
      <c r="F114" s="3"/>
      <c r="G114" s="9"/>
    </row>
    <row r="115" spans="1:24">
      <c r="A115" s="7" t="s">
        <v>1345</v>
      </c>
      <c r="B115" s="8" t="s">
        <v>1346</v>
      </c>
      <c r="C115" s="8"/>
      <c r="D115" s="8"/>
      <c r="E115" s="8"/>
      <c r="F115" s="8"/>
      <c r="G115" s="41"/>
    </row>
    <row r="117" spans="1:24" ht="15" thickBot="1"/>
    <row r="118" spans="1:24" ht="19" thickBot="1">
      <c r="A118" s="1429" t="s">
        <v>2425</v>
      </c>
      <c r="B118" s="1430"/>
      <c r="C118" s="1430"/>
      <c r="D118" s="1430"/>
      <c r="E118" s="1430"/>
      <c r="F118" s="1430"/>
      <c r="G118" s="1430"/>
      <c r="H118" s="1430"/>
      <c r="I118" s="1430"/>
      <c r="J118" s="1430"/>
      <c r="K118" s="1430"/>
      <c r="L118" s="1430"/>
      <c r="M118" s="1430"/>
      <c r="N118" s="1430"/>
      <c r="O118" s="1430"/>
      <c r="P118" s="1430"/>
      <c r="Q118" s="1430"/>
      <c r="R118" s="1430"/>
      <c r="S118" s="1430"/>
      <c r="T118" s="1430"/>
      <c r="U118" s="1430"/>
      <c r="V118" s="1430"/>
      <c r="W118" s="1430"/>
      <c r="X118" s="1431"/>
    </row>
    <row r="119" spans="1:24" ht="15" thickBot="1"/>
    <row r="120" spans="1:24">
      <c r="A120" s="55" t="s">
        <v>664</v>
      </c>
      <c r="B120" s="56"/>
      <c r="C120" s="56"/>
      <c r="D120" s="16"/>
      <c r="E120" s="16"/>
      <c r="F120" s="16"/>
      <c r="G120" s="16"/>
      <c r="H120" s="17"/>
    </row>
    <row r="121" spans="1:24">
      <c r="A121" s="20" t="s">
        <v>1347</v>
      </c>
      <c r="B121" t="s">
        <v>1348</v>
      </c>
      <c r="H121" s="21"/>
    </row>
    <row r="122" spans="1:24">
      <c r="A122" s="32" t="s">
        <v>668</v>
      </c>
      <c r="B122" s="33" t="s">
        <v>1349</v>
      </c>
      <c r="C122" s="33"/>
      <c r="D122" s="33"/>
      <c r="E122" s="33"/>
      <c r="F122" s="33"/>
      <c r="H122" s="21"/>
    </row>
    <row r="123" spans="1:24" ht="15" thickBot="1">
      <c r="A123" s="58" t="s">
        <v>1350</v>
      </c>
      <c r="B123" s="36" t="s">
        <v>1351</v>
      </c>
      <c r="C123" s="36"/>
      <c r="D123" s="36"/>
      <c r="E123" s="36"/>
      <c r="F123" s="36"/>
      <c r="G123" s="36"/>
      <c r="H123" s="37"/>
    </row>
    <row r="124" spans="1:24" ht="15" thickBot="1"/>
    <row r="125" spans="1:24">
      <c r="A125" s="15" t="s">
        <v>624</v>
      </c>
      <c r="B125" s="25" t="s">
        <v>516</v>
      </c>
      <c r="C125" s="16" t="s">
        <v>19</v>
      </c>
      <c r="D125" s="16" t="s">
        <v>1232</v>
      </c>
      <c r="E125" s="16" t="s">
        <v>1233</v>
      </c>
      <c r="F125" s="16"/>
      <c r="G125" s="16"/>
      <c r="H125" s="16"/>
      <c r="I125" s="17"/>
    </row>
    <row r="126" spans="1:24" ht="15" thickBot="1">
      <c r="A126" s="22" t="s">
        <v>1350</v>
      </c>
      <c r="B126" s="23">
        <v>0.2</v>
      </c>
      <c r="C126" s="23" t="s">
        <v>1352</v>
      </c>
      <c r="D126" s="23" t="s">
        <v>1293</v>
      </c>
      <c r="E126" s="23" t="s">
        <v>1341</v>
      </c>
      <c r="F126" s="23"/>
      <c r="G126" s="23" t="s">
        <v>1342</v>
      </c>
      <c r="H126" s="23"/>
      <c r="I126" s="24"/>
    </row>
    <row r="127" spans="1:24" ht="15" thickBot="1"/>
    <row r="128" spans="1:24">
      <c r="A128" s="55" t="s">
        <v>1353</v>
      </c>
      <c r="B128" s="56"/>
      <c r="C128" s="56"/>
      <c r="D128" s="16"/>
      <c r="E128" s="16"/>
      <c r="F128" s="16"/>
      <c r="G128" s="16"/>
      <c r="H128" s="17"/>
    </row>
    <row r="129" spans="1:24" ht="15" thickBot="1">
      <c r="A129" s="58" t="s">
        <v>663</v>
      </c>
      <c r="B129" s="36" t="s">
        <v>1354</v>
      </c>
      <c r="C129" s="36"/>
      <c r="D129" s="36"/>
      <c r="E129" s="36"/>
      <c r="F129" s="36"/>
      <c r="G129" s="36"/>
      <c r="H129" s="37"/>
    </row>
    <row r="131" spans="1:24" ht="15" thickBot="1"/>
    <row r="132" spans="1:24" ht="19" thickBot="1">
      <c r="A132" s="1429" t="s">
        <v>2426</v>
      </c>
      <c r="B132" s="1430"/>
      <c r="C132" s="1430"/>
      <c r="D132" s="1430"/>
      <c r="E132" s="1430"/>
      <c r="F132" s="1430"/>
      <c r="G132" s="1430"/>
      <c r="H132" s="1430"/>
      <c r="I132" s="1430"/>
      <c r="J132" s="1430"/>
      <c r="K132" s="1430"/>
      <c r="L132" s="1430"/>
      <c r="M132" s="1430"/>
      <c r="N132" s="1430"/>
      <c r="O132" s="1430"/>
      <c r="P132" s="1430"/>
      <c r="Q132" s="1430"/>
      <c r="R132" s="1430"/>
      <c r="S132" s="1430"/>
      <c r="T132" s="1430"/>
      <c r="U132" s="1430"/>
      <c r="V132" s="1430"/>
      <c r="W132" s="1430"/>
      <c r="X132" s="1431"/>
    </row>
    <row r="134" spans="1:24">
      <c r="A134" s="1" t="s">
        <v>132</v>
      </c>
      <c r="B134" s="1" t="s">
        <v>1360</v>
      </c>
      <c r="C134" s="1" t="s">
        <v>1361</v>
      </c>
      <c r="D134" s="1" t="s">
        <v>1362</v>
      </c>
      <c r="E134" s="1" t="s">
        <v>1363</v>
      </c>
      <c r="F134" s="1" t="s">
        <v>1364</v>
      </c>
      <c r="G134" s="1" t="s">
        <v>1232</v>
      </c>
    </row>
    <row r="135" spans="1:24">
      <c r="A135" s="26" t="s">
        <v>627</v>
      </c>
      <c r="B135" s="26">
        <v>0.86</v>
      </c>
      <c r="C135" s="26">
        <v>0.875</v>
      </c>
      <c r="D135" s="26">
        <v>5.1000000000000004E-3</v>
      </c>
      <c r="E135" s="26">
        <v>0.23</v>
      </c>
      <c r="F135" s="26">
        <v>8.9999999999999993E-3</v>
      </c>
      <c r="G135" s="26" t="s">
        <v>1365</v>
      </c>
    </row>
    <row r="136" spans="1:24">
      <c r="A136" s="26" t="s">
        <v>159</v>
      </c>
      <c r="B136" s="26">
        <v>0.86</v>
      </c>
      <c r="C136" s="26">
        <v>0.96250000000000002</v>
      </c>
      <c r="D136" s="26">
        <v>4.4000000000000003E-3</v>
      </c>
      <c r="E136" s="26">
        <v>0.28000000000000003</v>
      </c>
      <c r="F136" s="26">
        <v>8.9999999999999993E-3</v>
      </c>
      <c r="G136" s="26" t="s">
        <v>1365</v>
      </c>
    </row>
    <row r="137" spans="1:24" ht="15" thickBot="1">
      <c r="A137" s="26" t="s">
        <v>980</v>
      </c>
      <c r="B137" s="26">
        <v>0.86</v>
      </c>
      <c r="C137" s="26">
        <v>1.075</v>
      </c>
      <c r="D137" s="26">
        <v>5.8999999999999999E-3</v>
      </c>
      <c r="E137" s="26">
        <v>0.22</v>
      </c>
      <c r="F137" s="26">
        <v>8.9999999999999993E-3</v>
      </c>
      <c r="G137" s="26" t="s">
        <v>1365</v>
      </c>
    </row>
    <row r="138" spans="1:24">
      <c r="A138" s="26" t="s">
        <v>634</v>
      </c>
      <c r="B138" s="26">
        <v>0.86</v>
      </c>
      <c r="C138" s="26">
        <v>0.875</v>
      </c>
      <c r="D138" s="26">
        <v>7.7000000000000002E-3</v>
      </c>
      <c r="E138" s="26">
        <v>0.22</v>
      </c>
      <c r="F138" s="26">
        <v>1.4E-2</v>
      </c>
      <c r="G138" s="26" t="s">
        <v>1365</v>
      </c>
      <c r="J138" s="623"/>
      <c r="K138" s="16" t="s">
        <v>1366</v>
      </c>
      <c r="L138" s="16"/>
      <c r="M138" s="17"/>
    </row>
    <row r="139" spans="1:24">
      <c r="A139" s="26" t="s">
        <v>638</v>
      </c>
      <c r="B139" s="26">
        <v>0.86</v>
      </c>
      <c r="C139" s="26">
        <v>0.82499999999999996</v>
      </c>
      <c r="D139" s="26">
        <v>7.7000000000000002E-3</v>
      </c>
      <c r="E139" s="26">
        <v>0.22</v>
      </c>
      <c r="F139" s="26">
        <v>1.4E-2</v>
      </c>
      <c r="G139" s="26" t="s">
        <v>1365</v>
      </c>
      <c r="J139" s="414"/>
      <c r="K139" t="s">
        <v>1367</v>
      </c>
      <c r="M139" s="21"/>
    </row>
    <row r="140" spans="1:24">
      <c r="A140" s="26" t="s">
        <v>253</v>
      </c>
      <c r="B140" s="26">
        <v>0.86</v>
      </c>
      <c r="C140" s="26">
        <v>0.88749999999999996</v>
      </c>
      <c r="D140" s="26">
        <v>7.3000000000000001E-3</v>
      </c>
      <c r="E140" s="26">
        <v>0.25</v>
      </c>
      <c r="F140" s="26">
        <v>8.0000000000000002E-3</v>
      </c>
      <c r="G140" s="26" t="s">
        <v>1365</v>
      </c>
      <c r="J140" s="18"/>
      <c r="K140" t="s">
        <v>1368</v>
      </c>
      <c r="M140" s="21"/>
    </row>
    <row r="141" spans="1:24" ht="15" thickBot="1">
      <c r="A141" s="26" t="s">
        <v>1117</v>
      </c>
      <c r="B141" s="26">
        <v>0.86</v>
      </c>
      <c r="C141" s="26">
        <v>0.86250000000000004</v>
      </c>
      <c r="D141" s="26">
        <v>7.4999999999999997E-3</v>
      </c>
      <c r="E141" s="26">
        <v>0.22</v>
      </c>
      <c r="F141" s="26">
        <v>8.9999999999999993E-3</v>
      </c>
      <c r="G141" s="26" t="s">
        <v>1365</v>
      </c>
      <c r="J141" s="45"/>
      <c r="K141" s="36" t="s">
        <v>1369</v>
      </c>
      <c r="L141" s="36"/>
      <c r="M141" s="37"/>
    </row>
    <row r="142" spans="1:24">
      <c r="A142" s="26" t="s">
        <v>644</v>
      </c>
      <c r="B142" s="26">
        <v>0.86</v>
      </c>
      <c r="C142" s="26">
        <v>0.97499999999999998</v>
      </c>
      <c r="D142" s="26">
        <v>7.6E-3</v>
      </c>
      <c r="E142" s="26">
        <v>0.22</v>
      </c>
      <c r="F142" s="26">
        <v>8.9999999999999993E-3</v>
      </c>
      <c r="G142" s="26" t="s">
        <v>1365</v>
      </c>
    </row>
    <row r="143" spans="1:24">
      <c r="A143" s="27" t="s">
        <v>1122</v>
      </c>
      <c r="B143" s="27">
        <v>0.2</v>
      </c>
      <c r="C143" s="27">
        <v>0.66</v>
      </c>
      <c r="D143" s="27">
        <v>2.2499999999999999E-2</v>
      </c>
      <c r="E143" s="27">
        <v>0.2</v>
      </c>
      <c r="F143" s="27">
        <v>1.4E-2</v>
      </c>
      <c r="G143" s="27" t="s">
        <v>1365</v>
      </c>
    </row>
    <row r="144" spans="1:24">
      <c r="A144" s="26" t="s">
        <v>648</v>
      </c>
      <c r="B144" s="26">
        <v>0.91</v>
      </c>
      <c r="C144" s="26">
        <v>1.71</v>
      </c>
      <c r="D144" s="26">
        <v>1.0699999999999999E-2</v>
      </c>
      <c r="E144" s="26">
        <v>0.22</v>
      </c>
      <c r="F144" s="26">
        <v>8.9999999999999993E-3</v>
      </c>
      <c r="G144" s="26" t="s">
        <v>1365</v>
      </c>
    </row>
    <row r="145" spans="1:7">
      <c r="A145" s="26" t="s">
        <v>650</v>
      </c>
      <c r="B145" s="26">
        <v>0.91</v>
      </c>
      <c r="C145" s="26">
        <v>1.38</v>
      </c>
      <c r="D145" s="26">
        <v>1.0699999999999999E-2</v>
      </c>
      <c r="E145" s="26">
        <v>0.22</v>
      </c>
      <c r="F145" s="26">
        <v>8.9999999999999993E-3</v>
      </c>
      <c r="G145" s="26" t="s">
        <v>1365</v>
      </c>
    </row>
    <row r="146" spans="1:7">
      <c r="A146" s="26" t="s">
        <v>651</v>
      </c>
      <c r="B146" s="26">
        <v>0.91</v>
      </c>
      <c r="C146" s="26">
        <v>1.71</v>
      </c>
      <c r="D146" s="26">
        <v>1.0699999999999999E-2</v>
      </c>
      <c r="E146" s="26">
        <v>0.22</v>
      </c>
      <c r="F146" s="26">
        <v>8.9999999999999993E-3</v>
      </c>
      <c r="G146" s="26" t="s">
        <v>1365</v>
      </c>
    </row>
    <row r="147" spans="1:7">
      <c r="A147" s="26" t="s">
        <v>654</v>
      </c>
      <c r="B147" s="26">
        <v>0.91</v>
      </c>
      <c r="C147" s="26">
        <v>1.38</v>
      </c>
      <c r="D147" s="26">
        <v>1.0699999999999999E-2</v>
      </c>
      <c r="E147" s="26">
        <v>0.22</v>
      </c>
      <c r="F147" s="26">
        <v>8.9999999999999993E-3</v>
      </c>
      <c r="G147" s="26" t="s">
        <v>1365</v>
      </c>
    </row>
    <row r="148" spans="1:7">
      <c r="A148" s="26" t="s">
        <v>1145</v>
      </c>
      <c r="B148" s="26">
        <v>0.91</v>
      </c>
      <c r="C148" s="26">
        <v>1.3</v>
      </c>
      <c r="D148" s="26">
        <v>1.43E-2</v>
      </c>
      <c r="E148" s="26">
        <v>0.22</v>
      </c>
      <c r="F148" s="26">
        <v>8.9999999999999993E-3</v>
      </c>
      <c r="G148" s="26" t="s">
        <v>1365</v>
      </c>
    </row>
    <row r="149" spans="1:7">
      <c r="A149" s="27" t="s">
        <v>1146</v>
      </c>
      <c r="B149" s="27">
        <v>0.2</v>
      </c>
      <c r="C149" s="27">
        <v>0.4</v>
      </c>
      <c r="D149" s="27">
        <v>3.2500000000000001E-2</v>
      </c>
      <c r="E149" s="27">
        <v>0.2</v>
      </c>
      <c r="F149" s="27">
        <v>1.4E-2</v>
      </c>
      <c r="G149" s="27" t="s">
        <v>1365</v>
      </c>
    </row>
    <row r="150" spans="1:7">
      <c r="A150" s="5" t="s">
        <v>657</v>
      </c>
      <c r="B150" s="5">
        <v>0.83499999999999996</v>
      </c>
      <c r="C150" s="5">
        <v>0.25</v>
      </c>
      <c r="D150" s="5">
        <v>2.4E-2</v>
      </c>
      <c r="E150" s="5">
        <v>0.54</v>
      </c>
      <c r="F150" s="5">
        <v>1.6E-2</v>
      </c>
      <c r="G150" s="5" t="s">
        <v>1365</v>
      </c>
    </row>
    <row r="151" spans="1:7">
      <c r="A151" s="5" t="s">
        <v>658</v>
      </c>
      <c r="B151" s="5">
        <v>0.85</v>
      </c>
      <c r="C151" s="5"/>
      <c r="D151" s="5">
        <v>1.4999999999999999E-2</v>
      </c>
      <c r="E151" s="5">
        <v>0.6</v>
      </c>
      <c r="F151" s="5">
        <v>1.2E-2</v>
      </c>
      <c r="G151" s="5" t="s">
        <v>1370</v>
      </c>
    </row>
    <row r="152" spans="1:7">
      <c r="A152" s="5" t="s">
        <v>2427</v>
      </c>
      <c r="B152" s="5">
        <v>0.3</v>
      </c>
      <c r="C152" s="5"/>
      <c r="D152" s="5">
        <v>1.4999999999999999E-2</v>
      </c>
      <c r="E152" s="5">
        <v>0.6</v>
      </c>
      <c r="F152" s="5">
        <v>1.2E-2</v>
      </c>
      <c r="G152" s="5" t="s">
        <v>1370</v>
      </c>
    </row>
    <row r="153" spans="1:7">
      <c r="A153" s="5" t="s">
        <v>661</v>
      </c>
      <c r="B153" s="5">
        <v>0.86</v>
      </c>
      <c r="C153" s="5"/>
      <c r="D153" s="5">
        <v>0.02</v>
      </c>
      <c r="E153" s="5">
        <v>2</v>
      </c>
      <c r="F153" s="5">
        <v>1.4999999999999999E-2</v>
      </c>
      <c r="G153" s="5" t="s">
        <v>1370</v>
      </c>
    </row>
    <row r="154" spans="1:7">
      <c r="A154" s="5" t="s">
        <v>2428</v>
      </c>
      <c r="B154" s="5">
        <v>0.3</v>
      </c>
      <c r="C154" s="5"/>
      <c r="D154" s="5">
        <v>0.02</v>
      </c>
      <c r="E154" s="5">
        <v>2</v>
      </c>
      <c r="F154" s="5">
        <v>1.4999999999999999E-2</v>
      </c>
      <c r="G154" s="5" t="s">
        <v>1370</v>
      </c>
    </row>
    <row r="155" spans="1:7">
      <c r="A155" s="5" t="s">
        <v>2429</v>
      </c>
      <c r="B155" s="5">
        <v>0.86</v>
      </c>
      <c r="C155" s="5">
        <v>1</v>
      </c>
      <c r="D155" s="5">
        <v>9.4000000000000004E-3</v>
      </c>
      <c r="E155" s="5">
        <v>0.22</v>
      </c>
      <c r="F155" s="5">
        <v>7.0000000000000001E-3</v>
      </c>
      <c r="G155" s="5" t="s">
        <v>1365</v>
      </c>
    </row>
    <row r="156" spans="1:7">
      <c r="A156" s="5" t="s">
        <v>671</v>
      </c>
      <c r="B156" s="5">
        <v>0.85</v>
      </c>
      <c r="C156" s="5"/>
      <c r="D156" s="5">
        <v>0.02</v>
      </c>
      <c r="E156" s="5">
        <v>0.54</v>
      </c>
      <c r="F156" s="5">
        <v>1.2E-2</v>
      </c>
      <c r="G156" s="5" t="s">
        <v>1365</v>
      </c>
    </row>
    <row r="157" spans="1:7">
      <c r="A157" s="5" t="s">
        <v>2430</v>
      </c>
      <c r="B157" s="5">
        <v>0.3</v>
      </c>
      <c r="C157" s="5"/>
      <c r="D157" s="5">
        <v>0.02</v>
      </c>
      <c r="E157" s="5">
        <v>0.54</v>
      </c>
      <c r="F157" s="5">
        <v>1.2E-2</v>
      </c>
      <c r="G157" s="5" t="s">
        <v>1370</v>
      </c>
    </row>
    <row r="158" spans="1:7">
      <c r="A158" s="5" t="s">
        <v>675</v>
      </c>
      <c r="B158" s="5">
        <v>0.3</v>
      </c>
      <c r="C158" s="5"/>
      <c r="D158" s="5">
        <v>0.02</v>
      </c>
      <c r="E158" s="5">
        <v>0.54</v>
      </c>
      <c r="F158" s="5">
        <v>7.0000000000000001E-3</v>
      </c>
      <c r="G158" s="5" t="s">
        <v>1365</v>
      </c>
    </row>
    <row r="159" spans="1:7">
      <c r="A159" s="5" t="s">
        <v>678</v>
      </c>
      <c r="B159" s="5">
        <v>0.3</v>
      </c>
      <c r="C159" s="5"/>
      <c r="D159" s="5">
        <v>0.02</v>
      </c>
      <c r="E159" s="5">
        <v>0.54</v>
      </c>
      <c r="F159" s="5">
        <v>1.6E-2</v>
      </c>
      <c r="G159" s="5" t="s">
        <v>1365</v>
      </c>
    </row>
    <row r="160" spans="1:7">
      <c r="A160" s="28" t="s">
        <v>1154</v>
      </c>
      <c r="B160" s="28">
        <v>0.83499999999999996</v>
      </c>
      <c r="C160" s="28">
        <v>0.4</v>
      </c>
      <c r="D160" s="28">
        <v>2.4E-2</v>
      </c>
      <c r="E160" s="28">
        <v>0.54</v>
      </c>
      <c r="F160" s="28">
        <v>1.6E-2</v>
      </c>
      <c r="G160" s="28" t="s">
        <v>1365</v>
      </c>
    </row>
    <row r="161" spans="1:7">
      <c r="A161" s="5" t="s">
        <v>1147</v>
      </c>
      <c r="B161" s="5">
        <v>0.86</v>
      </c>
      <c r="C161" s="5">
        <v>2.2999999999999998</v>
      </c>
      <c r="D161" s="5">
        <v>7.0000000000000001E-3</v>
      </c>
      <c r="E161" s="5">
        <v>0.22</v>
      </c>
      <c r="F161" s="5">
        <v>5.0000000000000001E-3</v>
      </c>
      <c r="G161" s="5" t="s">
        <v>1370</v>
      </c>
    </row>
    <row r="162" spans="1:7">
      <c r="A162" s="5" t="s">
        <v>983</v>
      </c>
      <c r="B162" s="5">
        <v>0.86</v>
      </c>
      <c r="C162" s="5">
        <v>1.4</v>
      </c>
      <c r="D162" s="5">
        <v>1.67E-2</v>
      </c>
      <c r="E162" s="5">
        <v>0.19</v>
      </c>
      <c r="F162" s="5">
        <v>2.4299999999999999E-2</v>
      </c>
      <c r="G162" s="5" t="s">
        <v>1370</v>
      </c>
    </row>
    <row r="163" spans="1:7">
      <c r="A163" s="5" t="s">
        <v>984</v>
      </c>
      <c r="B163" s="5">
        <v>0.86</v>
      </c>
      <c r="C163" s="5">
        <v>2.2000000000000002</v>
      </c>
      <c r="D163" s="5">
        <v>1.2E-2</v>
      </c>
      <c r="E163" s="5">
        <v>0.19</v>
      </c>
      <c r="F163" s="5">
        <v>1.6E-2</v>
      </c>
      <c r="G163" s="5" t="s">
        <v>1370</v>
      </c>
    </row>
    <row r="164" spans="1:7">
      <c r="A164" s="5" t="s">
        <v>1148</v>
      </c>
      <c r="B164" s="5">
        <v>0.86</v>
      </c>
      <c r="C164" s="5">
        <v>1.75</v>
      </c>
      <c r="D164" s="5">
        <v>1.4E-2</v>
      </c>
      <c r="E164" s="5">
        <v>0.19</v>
      </c>
      <c r="F164" s="5">
        <v>0.02</v>
      </c>
      <c r="G164" s="5" t="s">
        <v>1370</v>
      </c>
    </row>
    <row r="165" spans="1:7">
      <c r="A165" s="5" t="s">
        <v>282</v>
      </c>
      <c r="B165" s="5">
        <v>0.86</v>
      </c>
      <c r="C165" s="5">
        <v>1.6</v>
      </c>
      <c r="D165" s="5">
        <v>1.3599999999999999E-2</v>
      </c>
      <c r="E165" s="5">
        <v>0.19</v>
      </c>
      <c r="F165" s="5">
        <v>2.2700000000000001E-2</v>
      </c>
      <c r="G165" s="5" t="s">
        <v>1370</v>
      </c>
    </row>
    <row r="166" spans="1:7">
      <c r="A166" s="5" t="s">
        <v>681</v>
      </c>
      <c r="B166" s="5">
        <v>0.06</v>
      </c>
      <c r="C166" s="5">
        <v>1.6</v>
      </c>
      <c r="D166" s="5">
        <v>1.29E-2</v>
      </c>
      <c r="E166" s="5">
        <v>0.19</v>
      </c>
      <c r="F166" s="5">
        <v>0.02</v>
      </c>
      <c r="G166" s="5" t="s">
        <v>1370</v>
      </c>
    </row>
    <row r="167" spans="1:7">
      <c r="A167" s="27" t="s">
        <v>1149</v>
      </c>
      <c r="B167" s="27">
        <v>0.13</v>
      </c>
      <c r="C167" s="27">
        <v>0.3</v>
      </c>
      <c r="D167" s="27">
        <v>2.1999999999999999E-2</v>
      </c>
      <c r="E167" s="27">
        <v>0.2</v>
      </c>
      <c r="F167" s="27">
        <v>1.4E-2</v>
      </c>
      <c r="G167" s="27" t="s">
        <v>1370</v>
      </c>
    </row>
    <row r="168" spans="1:7">
      <c r="A168" s="5" t="s">
        <v>682</v>
      </c>
      <c r="B168" s="5">
        <v>0.85</v>
      </c>
      <c r="C168" s="5"/>
      <c r="D168" s="5">
        <v>2.5000000000000001E-2</v>
      </c>
      <c r="E168" s="5">
        <v>1.7</v>
      </c>
      <c r="F168" s="5">
        <v>1.7000000000000001E-2</v>
      </c>
      <c r="G168" s="5" t="s">
        <v>1370</v>
      </c>
    </row>
    <row r="169" spans="1:7">
      <c r="A169" s="5" t="s">
        <v>2431</v>
      </c>
      <c r="B169" s="5">
        <v>0.35</v>
      </c>
      <c r="C169" s="5"/>
      <c r="D169" s="5">
        <v>2.5000000000000001E-2</v>
      </c>
      <c r="E169" s="5">
        <v>1.7</v>
      </c>
      <c r="F169" s="5">
        <v>1.7000000000000001E-2</v>
      </c>
      <c r="G169" s="5" t="s">
        <v>1370</v>
      </c>
    </row>
    <row r="170" spans="1:7">
      <c r="A170" s="5" t="s">
        <v>689</v>
      </c>
      <c r="B170" s="5">
        <v>0.85</v>
      </c>
      <c r="C170" s="5"/>
      <c r="D170" s="5">
        <v>2.5000000000000001E-2</v>
      </c>
      <c r="E170" s="5">
        <v>0.9</v>
      </c>
      <c r="F170" s="5">
        <v>1.6E-2</v>
      </c>
      <c r="G170" s="5" t="s">
        <v>1370</v>
      </c>
    </row>
    <row r="171" spans="1:7">
      <c r="A171" s="5" t="s">
        <v>2432</v>
      </c>
      <c r="B171" s="5">
        <v>0.35</v>
      </c>
      <c r="C171" s="5"/>
      <c r="D171" s="5">
        <v>2.5000000000000001E-2</v>
      </c>
      <c r="E171" s="5">
        <v>0.9</v>
      </c>
      <c r="F171" s="5">
        <v>1.6E-2</v>
      </c>
      <c r="G171" s="5" t="s">
        <v>1370</v>
      </c>
    </row>
    <row r="172" spans="1:7">
      <c r="A172" s="5" t="s">
        <v>2433</v>
      </c>
      <c r="B172" s="5"/>
      <c r="C172" s="5"/>
      <c r="D172" s="5">
        <v>8.0000000000000002E-3</v>
      </c>
      <c r="E172" s="5">
        <v>0.4</v>
      </c>
      <c r="F172" s="5">
        <v>2.1999999999999999E-2</v>
      </c>
      <c r="G172" s="5" t="s">
        <v>1370</v>
      </c>
    </row>
    <row r="173" spans="1:7">
      <c r="A173" s="28" t="s">
        <v>1155</v>
      </c>
      <c r="B173" s="28">
        <v>0.85</v>
      </c>
      <c r="C173" s="28"/>
      <c r="D173" s="28">
        <v>0.02</v>
      </c>
      <c r="E173" s="28">
        <v>2</v>
      </c>
      <c r="F173" s="28">
        <v>1.4999999999999999E-2</v>
      </c>
      <c r="G173" s="28" t="s">
        <v>1370</v>
      </c>
    </row>
    <row r="174" spans="1:7">
      <c r="A174" s="28" t="s">
        <v>2434</v>
      </c>
      <c r="B174" s="28">
        <v>0.3</v>
      </c>
      <c r="C174" s="28"/>
      <c r="D174" s="28">
        <v>0.02</v>
      </c>
      <c r="E174" s="28">
        <v>2</v>
      </c>
      <c r="F174" s="28">
        <v>1.4999999999999999E-2</v>
      </c>
      <c r="G174" s="28" t="s">
        <v>1370</v>
      </c>
    </row>
  </sheetData>
  <sheetProtection insertColumns="0" insertRows="0" selectLockedCells="1" selectUnlockedCells="1"/>
  <mergeCells count="6">
    <mergeCell ref="A132:X132"/>
    <mergeCell ref="A1:X1"/>
    <mergeCell ref="A44:X44"/>
    <mergeCell ref="A79:X79"/>
    <mergeCell ref="A100:X100"/>
    <mergeCell ref="A118:X118"/>
  </mergeCells>
  <hyperlinks>
    <hyperlink ref="A12" location="'Otsesed N2O emissioonid'!T9" display="F cr" xr:uid="{58B34EE9-D242-4A19-A7F2-8894A106D0BC}"/>
    <hyperlink ref="A13" location="'Otsesed N2O emissioonid'!T22" display="F gcr" xr:uid="{2E9D9492-D84E-4980-8ECB-9CA4773FBBF0}"/>
    <hyperlink ref="A14" location="'Otsesed N2O emissioonid'!T35" display="F pgr" xr:uid="{6EC9901C-426F-40E0-A0E0-AF70E5A7F237}"/>
    <hyperlink ref="A27:A28" location="'Otsesed N2O emissioonid'!H26" display="F prp, cpp" xr:uid="{0A50EF8D-356D-4AD7-A239-4F09D77D4481}"/>
    <hyperlink ref="A11" location="'Otsesed N2O emissioonid'!K7" display="F on" xr:uid="{CCF7EBD0-E96B-46E4-B68C-412C1406E0CA}"/>
    <hyperlink ref="T13:T14" location="Allokatsioonikoefitsiendid!A2" display="R ag (culture)" xr:uid="{4B5FA338-88F9-4C4B-9FEC-F6586C08B7CA}"/>
    <hyperlink ref="T16:T17" location="Allokatsioonikoefitsiendid!A2" display="R:S (culture)" xr:uid="{65257C7E-26DF-4EB2-A388-68ABA6DB0B76}"/>
    <hyperlink ref="T26" location="Allokatsioonikoefitsiendid!A2" display="N ag (culture)" xr:uid="{9043816D-882C-4100-8A60-B2A4D4FC7FB1}"/>
    <hyperlink ref="T28:T29" location="Allokatsioonikoefitsiendid!A2" display="RS (culture)" xr:uid="{6652687D-C428-42AB-8ED0-991EE978D110}"/>
    <hyperlink ref="T39" location="Allokatsioonikoefitsiendid!A2" display="N ag (pgr)" xr:uid="{665518C6-E5C9-4F2B-93EE-1D58141E4F51}"/>
    <hyperlink ref="T41:T42" location="Allokatsioonikoefitsiendid!A2" display="RS (pgr)" xr:uid="{58153298-8205-4B71-A693-FF6CD422FE4E}"/>
  </hyperlink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8526-A740-49B5-81E3-373B811B2C73}">
  <sheetPr codeName="Sheet2">
    <tabColor rgb="FF00B050"/>
    <pageSetUpPr autoPageBreaks="0"/>
  </sheetPr>
  <dimension ref="A1:RA468"/>
  <sheetViews>
    <sheetView showGridLines="0" topLeftCell="A78" zoomScale="76" zoomScaleNormal="70" workbookViewId="0">
      <pane xSplit="6" topLeftCell="G1" activePane="topRight" state="frozen"/>
      <selection pane="topRight" activeCell="K7" sqref="K7"/>
    </sheetView>
  </sheetViews>
  <sheetFormatPr defaultColWidth="8.54296875" defaultRowHeight="14.5"/>
  <cols>
    <col min="1" max="1" width="27.453125" customWidth="1"/>
    <col min="2" max="2" width="24.453125" customWidth="1"/>
    <col min="3" max="3" width="40.453125" customWidth="1"/>
    <col min="4" max="4" width="43.453125" customWidth="1"/>
    <col min="5" max="5" width="49.1796875" customWidth="1"/>
    <col min="6" max="6" width="18" customWidth="1"/>
    <col min="7" max="7" width="29.453125" customWidth="1"/>
    <col min="8" max="9" width="18.453125" customWidth="1"/>
    <col min="10" max="11" width="15.453125" customWidth="1"/>
    <col min="12" max="12" width="17.453125" customWidth="1"/>
    <col min="13" max="26" width="15.453125" customWidth="1"/>
    <col min="27" max="46" width="13.453125" customWidth="1"/>
    <col min="47" max="49" width="16.54296875" customWidth="1"/>
    <col min="50" max="469" width="8.54296875" style="29"/>
  </cols>
  <sheetData>
    <row r="1" spans="1:49">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row>
    <row r="2" spans="1:49" ht="21">
      <c r="A2" s="1209" t="s">
        <v>0</v>
      </c>
      <c r="B2" s="1210"/>
      <c r="C2" s="1211"/>
      <c r="D2" s="1203" t="s">
        <v>1</v>
      </c>
      <c r="E2" s="1203"/>
      <c r="F2" s="1203"/>
      <c r="G2" s="1204"/>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row>
    <row r="3" spans="1:49" ht="15" thickBot="1">
      <c r="A3" s="414"/>
      <c r="B3" s="27"/>
      <c r="C3" s="415"/>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row>
    <row r="4" spans="1:49" ht="65.5" customHeight="1">
      <c r="A4" s="1218" t="s">
        <v>2518</v>
      </c>
      <c r="B4" s="1219"/>
      <c r="C4" s="1220"/>
      <c r="D4" s="700" t="s">
        <v>2</v>
      </c>
      <c r="E4" s="891" t="s">
        <v>3</v>
      </c>
      <c r="F4" s="645" t="s">
        <v>4</v>
      </c>
      <c r="G4" s="645" t="s">
        <v>5</v>
      </c>
      <c r="H4" s="646" t="s">
        <v>6</v>
      </c>
      <c r="I4" s="647" t="s">
        <v>7</v>
      </c>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row>
    <row r="5" spans="1:49" ht="27" customHeight="1">
      <c r="A5" s="1221"/>
      <c r="B5" s="1222"/>
      <c r="C5" s="1223"/>
      <c r="D5" s="701" t="s">
        <v>8</v>
      </c>
      <c r="E5" s="175"/>
      <c r="F5" s="912" t="e">
        <f>E5/$E$11*100</f>
        <v>#DIV/0!</v>
      </c>
      <c r="G5" s="175">
        <v>2</v>
      </c>
      <c r="H5" s="175">
        <v>0.25</v>
      </c>
      <c r="I5" s="324" t="s">
        <v>9</v>
      </c>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row>
    <row r="6" spans="1:49" ht="25.5" customHeight="1">
      <c r="A6" s="1221"/>
      <c r="B6" s="1222"/>
      <c r="C6" s="1223"/>
      <c r="D6" s="702" t="s">
        <v>10</v>
      </c>
      <c r="E6" s="175"/>
      <c r="F6" s="912" t="e">
        <f t="shared" ref="F6:F10" si="0">E6/$E$11*100</f>
        <v>#DIV/0!</v>
      </c>
      <c r="G6" s="175">
        <v>2</v>
      </c>
      <c r="H6" s="175">
        <v>0.25</v>
      </c>
      <c r="I6" s="324" t="s">
        <v>9</v>
      </c>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row>
    <row r="7" spans="1:49" ht="25.5" customHeight="1">
      <c r="A7" s="1221"/>
      <c r="B7" s="1222"/>
      <c r="C7" s="1223"/>
      <c r="D7" s="1126" t="s">
        <v>11</v>
      </c>
      <c r="E7" s="175"/>
      <c r="F7" s="912" t="e">
        <f t="shared" si="0"/>
        <v>#DIV/0!</v>
      </c>
      <c r="G7" s="175">
        <v>2</v>
      </c>
      <c r="H7" s="175">
        <v>0.25</v>
      </c>
      <c r="I7" s="324" t="s">
        <v>9</v>
      </c>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row>
    <row r="8" spans="1:49" ht="25.5" customHeight="1">
      <c r="A8" s="1221"/>
      <c r="B8" s="1222"/>
      <c r="C8" s="1223"/>
      <c r="D8" s="1128" t="s">
        <v>12</v>
      </c>
      <c r="E8" s="175"/>
      <c r="F8" s="912" t="e">
        <f t="shared" si="0"/>
        <v>#DIV/0!</v>
      </c>
      <c r="G8" s="175">
        <v>2</v>
      </c>
      <c r="H8" s="175">
        <v>0.25</v>
      </c>
      <c r="I8" s="324" t="s">
        <v>9</v>
      </c>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row>
    <row r="9" spans="1:49" ht="22.5" customHeight="1">
      <c r="A9" s="1221"/>
      <c r="B9" s="1222"/>
      <c r="C9" s="1223"/>
      <c r="D9" s="1127" t="s">
        <v>13</v>
      </c>
      <c r="E9" s="175"/>
      <c r="F9" s="912" t="e">
        <f t="shared" si="0"/>
        <v>#DIV/0!</v>
      </c>
      <c r="G9" s="175">
        <v>2</v>
      </c>
      <c r="H9" s="175">
        <v>0.25</v>
      </c>
      <c r="I9" s="324" t="s">
        <v>9</v>
      </c>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row>
    <row r="10" spans="1:49" ht="24" customHeight="1" thickBot="1">
      <c r="A10" s="1221"/>
      <c r="B10" s="1222"/>
      <c r="C10" s="1223"/>
      <c r="D10" s="703" t="s">
        <v>14</v>
      </c>
      <c r="E10" s="557"/>
      <c r="F10" s="912" t="e">
        <f t="shared" si="0"/>
        <v>#DIV/0!</v>
      </c>
      <c r="G10" s="557">
        <v>2</v>
      </c>
      <c r="H10" s="557">
        <v>0.25</v>
      </c>
      <c r="I10" s="449" t="s">
        <v>9</v>
      </c>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row>
    <row r="11" spans="1:49" ht="25.5" customHeight="1" thickBot="1">
      <c r="A11" s="1224"/>
      <c r="B11" s="1225"/>
      <c r="C11" s="1226"/>
      <c r="D11" s="731" t="s">
        <v>15</v>
      </c>
      <c r="E11" s="732">
        <f>SUM(E5:E10)</f>
        <v>0</v>
      </c>
      <c r="F11" s="913" t="e">
        <f>SUM(F5:F10)</f>
        <v>#DIV/0!</v>
      </c>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row>
    <row r="12" spans="1:49" ht="15" thickBot="1">
      <c r="A12" s="414"/>
      <c r="B12" s="27"/>
      <c r="C12" s="415"/>
      <c r="D12" s="29"/>
      <c r="E12" s="466"/>
      <c r="F12" s="653"/>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row>
    <row r="13" spans="1:49" ht="21.75" customHeight="1">
      <c r="A13" s="1191" t="s">
        <v>16</v>
      </c>
      <c r="B13" s="1192"/>
      <c r="C13" s="1193"/>
      <c r="D13" s="733" t="s">
        <v>17</v>
      </c>
      <c r="E13" s="734" t="s">
        <v>18</v>
      </c>
      <c r="F13" s="734" t="s">
        <v>19</v>
      </c>
      <c r="G13" s="735" t="s">
        <v>20</v>
      </c>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row>
    <row r="14" spans="1:49" ht="19.5" customHeight="1">
      <c r="A14" s="1194"/>
      <c r="B14" s="1195"/>
      <c r="C14" s="1196"/>
      <c r="D14" s="704"/>
      <c r="E14" s="643" t="s">
        <v>21</v>
      </c>
      <c r="F14" s="644" t="s">
        <v>22</v>
      </c>
      <c r="G14" s="424"/>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row>
    <row r="15" spans="1:49" ht="19.5" customHeight="1">
      <c r="A15" s="1197"/>
      <c r="B15" s="1198"/>
      <c r="C15" s="1199"/>
      <c r="D15" s="705"/>
      <c r="E15" s="648" t="s">
        <v>23</v>
      </c>
      <c r="F15" s="577" t="s">
        <v>22</v>
      </c>
      <c r="G15" s="567"/>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row>
    <row r="16" spans="1:49">
      <c r="A16" s="414"/>
      <c r="B16" s="27"/>
      <c r="C16" s="415"/>
      <c r="D16" s="29"/>
      <c r="E16" s="466"/>
      <c r="F16" s="653"/>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row>
    <row r="17" spans="1:469" ht="23.9" customHeight="1" thickBot="1">
      <c r="A17" s="414"/>
      <c r="B17" s="27"/>
      <c r="C17" s="415"/>
      <c r="D17" s="467"/>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row>
    <row r="18" spans="1:469" ht="25.4" customHeight="1" thickBot="1">
      <c r="A18" s="1212" t="s">
        <v>24</v>
      </c>
      <c r="B18" s="1213"/>
      <c r="C18" s="1214"/>
      <c r="D18" s="29"/>
      <c r="E18" s="29"/>
      <c r="F18" s="29"/>
      <c r="G18" s="1208" t="s">
        <v>25</v>
      </c>
      <c r="H18" s="1208"/>
      <c r="I18" s="1208"/>
      <c r="J18" s="1208"/>
      <c r="K18" s="1208"/>
      <c r="L18" s="1208"/>
      <c r="M18" s="1208"/>
      <c r="N18" s="1208"/>
      <c r="O18" s="1208"/>
      <c r="P18" s="1208"/>
      <c r="Q18" s="1208"/>
      <c r="R18" s="1208"/>
      <c r="S18" s="1208"/>
      <c r="T18" s="1208"/>
      <c r="U18" s="1208"/>
      <c r="V18" s="1208"/>
      <c r="W18" s="1208"/>
      <c r="X18" s="1208"/>
      <c r="Y18" s="1208"/>
      <c r="Z18" s="1208"/>
      <c r="AA18" s="1200" t="s">
        <v>26</v>
      </c>
      <c r="AB18" s="1201"/>
      <c r="AC18" s="1201"/>
      <c r="AD18" s="1201"/>
      <c r="AE18" s="1201"/>
      <c r="AF18" s="1201"/>
      <c r="AG18" s="1201"/>
      <c r="AH18" s="1201"/>
      <c r="AI18" s="1201"/>
      <c r="AJ18" s="1201"/>
      <c r="AK18" s="1201"/>
      <c r="AL18" s="1201"/>
      <c r="AM18" s="1201"/>
      <c r="AN18" s="1201"/>
      <c r="AO18" s="1201"/>
      <c r="AP18" s="1201"/>
      <c r="AQ18" s="1201"/>
      <c r="AR18" s="1200" t="s">
        <v>27</v>
      </c>
      <c r="AS18" s="1201"/>
      <c r="AT18" s="1202"/>
      <c r="AU18" s="608"/>
      <c r="AV18" s="29"/>
      <c r="AW18" s="726"/>
    </row>
    <row r="19" spans="1:469" ht="67.400000000000006" customHeight="1" thickBot="1">
      <c r="A19" s="1215"/>
      <c r="B19" s="1216"/>
      <c r="C19" s="1217"/>
      <c r="D19" s="706" t="s">
        <v>28</v>
      </c>
      <c r="E19" s="338" t="s">
        <v>18</v>
      </c>
      <c r="F19" s="335" t="s">
        <v>19</v>
      </c>
      <c r="G19" s="655" t="s">
        <v>627</v>
      </c>
      <c r="H19" s="655"/>
      <c r="I19" s="655"/>
      <c r="J19" s="655"/>
      <c r="K19" s="655"/>
      <c r="L19" s="655"/>
      <c r="M19" s="655"/>
      <c r="N19" s="655"/>
      <c r="O19" s="655"/>
      <c r="P19" s="655"/>
      <c r="Q19" s="655"/>
      <c r="R19" s="655"/>
      <c r="S19" s="655"/>
      <c r="T19" s="655"/>
      <c r="U19" s="655"/>
      <c r="V19" s="655"/>
      <c r="W19" s="655"/>
      <c r="X19" s="655"/>
      <c r="Y19" s="655"/>
      <c r="Z19" s="655"/>
      <c r="AA19" s="656"/>
      <c r="AB19" s="657"/>
      <c r="AC19" s="656"/>
      <c r="AD19" s="656"/>
      <c r="AE19" s="656"/>
      <c r="AF19" s="656"/>
      <c r="AG19" s="656"/>
      <c r="AH19" s="656"/>
      <c r="AI19" s="656"/>
      <c r="AJ19" s="656"/>
      <c r="AK19" s="656"/>
      <c r="AL19" s="656"/>
      <c r="AM19" s="656"/>
      <c r="AN19" s="656"/>
      <c r="AO19" s="656"/>
      <c r="AP19" s="656"/>
      <c r="AQ19" s="718"/>
      <c r="AR19" s="1159"/>
      <c r="AS19" s="656"/>
      <c r="AT19" s="1160"/>
      <c r="AU19" s="27"/>
      <c r="AV19" s="27"/>
      <c r="AW19" s="29"/>
      <c r="RA19"/>
    </row>
    <row r="20" spans="1:469" ht="51.75" customHeight="1" thickBot="1">
      <c r="A20" s="1227" t="s">
        <v>29</v>
      </c>
      <c r="B20" s="1228"/>
      <c r="C20" s="1229"/>
      <c r="D20" s="658"/>
      <c r="E20" s="659" t="s">
        <v>30</v>
      </c>
      <c r="F20" s="660" t="s">
        <v>31</v>
      </c>
      <c r="G20" s="556"/>
      <c r="H20" s="556"/>
      <c r="I20" s="556"/>
      <c r="J20" s="556"/>
      <c r="K20" s="556"/>
      <c r="L20" s="556"/>
      <c r="M20" s="556"/>
      <c r="N20" s="556"/>
      <c r="O20" s="556"/>
      <c r="P20" s="556"/>
      <c r="Q20" s="556"/>
      <c r="R20" s="556"/>
      <c r="S20" s="556"/>
      <c r="T20" s="556"/>
      <c r="U20" s="556"/>
      <c r="V20" s="556"/>
      <c r="W20" s="556"/>
      <c r="X20" s="556"/>
      <c r="Y20" s="556"/>
      <c r="Z20" s="556"/>
      <c r="AA20" s="556"/>
      <c r="AB20" s="164"/>
      <c r="AC20" s="164"/>
      <c r="AD20" s="164"/>
      <c r="AE20" s="164"/>
      <c r="AF20" s="164"/>
      <c r="AG20" s="164"/>
      <c r="AH20" s="164"/>
      <c r="AI20" s="164"/>
      <c r="AJ20" s="164"/>
      <c r="AK20" s="164"/>
      <c r="AL20" s="164"/>
      <c r="AM20" s="164"/>
      <c r="AN20" s="164"/>
      <c r="AO20" s="164"/>
      <c r="AP20" s="164"/>
      <c r="AQ20" s="323"/>
      <c r="AR20" s="720"/>
      <c r="AS20" s="164"/>
      <c r="AT20" s="185"/>
      <c r="AU20" s="27"/>
      <c r="AV20" s="27"/>
      <c r="AW20" s="29"/>
      <c r="RA20"/>
    </row>
    <row r="21" spans="1:469" ht="56.25" customHeight="1" thickBot="1">
      <c r="A21" s="1197" t="s">
        <v>32</v>
      </c>
      <c r="B21" s="1198"/>
      <c r="C21" s="1199"/>
      <c r="D21" s="658"/>
      <c r="E21" s="661" t="s">
        <v>33</v>
      </c>
      <c r="F21" s="662" t="s">
        <v>34</v>
      </c>
      <c r="G21" s="364">
        <f>IFERROR(VLOOKUP(G19,'M1 - TK'!$A$38:$B$61,2,FALSE),0)</f>
        <v>0.86</v>
      </c>
      <c r="H21" s="364">
        <f>IFERROR(VLOOKUP(H19,'M1 - TK'!$A$38:$B$61,2,FALSE),0)</f>
        <v>0</v>
      </c>
      <c r="I21" s="364">
        <f>IFERROR(VLOOKUP(I19,'M1 - TK'!$A$38:$B$61,2,FALSE),0)</f>
        <v>0</v>
      </c>
      <c r="J21" s="364">
        <f>IFERROR(VLOOKUP(J19,'M1 - TK'!$A$38:$B$61,2,FALSE),0)</f>
        <v>0</v>
      </c>
      <c r="K21" s="364">
        <f>IFERROR(VLOOKUP(K19,'M1 - TK'!$A$38:$B$61,2,FALSE),0)</f>
        <v>0</v>
      </c>
      <c r="L21" s="364">
        <f>IFERROR(VLOOKUP(L19,'M1 - TK'!$A$38:$B$61,2,FALSE),0)</f>
        <v>0</v>
      </c>
      <c r="M21" s="364">
        <f>IFERROR(VLOOKUP(M19,'M1 - TK'!$A$38:$B$61,2,FALSE),0)</f>
        <v>0</v>
      </c>
      <c r="N21" s="364">
        <f>IFERROR(VLOOKUP(N19,'M1 - TK'!$A$38:$B$61,2,FALSE),0)</f>
        <v>0</v>
      </c>
      <c r="O21" s="364">
        <f>IFERROR(VLOOKUP(O19,'M1 - TK'!$A$38:$B$61,2,FALSE),0)</f>
        <v>0</v>
      </c>
      <c r="P21" s="364">
        <f>IFERROR(VLOOKUP(P19,'M1 - TK'!$A$38:$B$61,2,FALSE),0)</f>
        <v>0</v>
      </c>
      <c r="Q21" s="364">
        <f>IFERROR(VLOOKUP(Q19,'M1 - TK'!$A$38:$B$61,2,FALSE),0)</f>
        <v>0</v>
      </c>
      <c r="R21" s="364">
        <f>IFERROR(VLOOKUP(R19,'M1 - TK'!$A$38:$B$61,2,FALSE),0)</f>
        <v>0</v>
      </c>
      <c r="S21" s="364">
        <f>IFERROR(VLOOKUP(S19,'M1 - TK'!$A$38:$B$61,2,FALSE),0)</f>
        <v>0</v>
      </c>
      <c r="T21" s="364">
        <f>IFERROR(VLOOKUP(T19,'M1 - TK'!$A$38:$B$61,2,FALSE),0)</f>
        <v>0</v>
      </c>
      <c r="U21" s="364">
        <f>IFERROR(VLOOKUP(U19,'M1 - TK'!$A$38:$B$61,2,FALSE),0)</f>
        <v>0</v>
      </c>
      <c r="V21" s="364">
        <f>IFERROR(VLOOKUP(V19,'M1 - TK'!$A$38:$B$61,2,FALSE),0)</f>
        <v>0</v>
      </c>
      <c r="W21" s="364">
        <f>IFERROR(VLOOKUP(W19,'M1 - TK'!$A$38:$B$61,2,FALSE),0)</f>
        <v>0</v>
      </c>
      <c r="X21" s="364">
        <f>IFERROR(VLOOKUP(X19,'M1 - TK'!$A$38:$B$61,2,FALSE),0)</f>
        <v>0</v>
      </c>
      <c r="Y21" s="364">
        <f>IFERROR(VLOOKUP(Y19,'M1 - TK'!$A$38:$B$61,2,FALSE),0)</f>
        <v>0</v>
      </c>
      <c r="Z21" s="364">
        <f>IFERROR(VLOOKUP(Z19,'M1 - TK'!$A$38:$B$61,2,FALSE),0)</f>
        <v>0</v>
      </c>
      <c r="AA21" s="364">
        <f>IFERROR(VLOOKUP(AA19,'M1 - TK'!$A$63:$B$79,2,FALSE),0)</f>
        <v>0</v>
      </c>
      <c r="AB21" s="364">
        <f>IFERROR(VLOOKUP(AB19,'M1 - TK'!$A$63:$B$79,2,FALSE),0)</f>
        <v>0</v>
      </c>
      <c r="AC21" s="364">
        <f>IFERROR(VLOOKUP(AC19,'M1 - TK'!$A$63:$B$79,2,FALSE),0)</f>
        <v>0</v>
      </c>
      <c r="AD21" s="364">
        <f>IFERROR(VLOOKUP(AD19,'M1 - TK'!$A$63:$B$79,2,FALSE),0)</f>
        <v>0</v>
      </c>
      <c r="AE21" s="364">
        <f>IFERROR(VLOOKUP(AE19,'M1 - TK'!$A$63:$B$79,2,FALSE),0)</f>
        <v>0</v>
      </c>
      <c r="AF21" s="364">
        <f>IFERROR(VLOOKUP(AF19,'M1 - TK'!$A$63:$B$79,2,FALSE),0)</f>
        <v>0</v>
      </c>
      <c r="AG21" s="364">
        <f>IFERROR(VLOOKUP(AG19,'M1 - TK'!$A$63:$B$79,2,FALSE),0)</f>
        <v>0</v>
      </c>
      <c r="AH21" s="364">
        <f>IFERROR(VLOOKUP(AH19,'M1 - TK'!$A$63:$B$79,2,FALSE),0)</f>
        <v>0</v>
      </c>
      <c r="AI21" s="364">
        <f>IFERROR(VLOOKUP(AI19,'M1 - TK'!$A$63:$B$79,2,FALSE),0)</f>
        <v>0</v>
      </c>
      <c r="AJ21" s="364">
        <f>IFERROR(VLOOKUP(AJ19,'M1 - TK'!$A$63:$B$79,2,FALSE),0)</f>
        <v>0</v>
      </c>
      <c r="AK21" s="364">
        <f>IFERROR(VLOOKUP(AK19,'M1 - TK'!$A$63:$B$79,2,FALSE),0)</f>
        <v>0</v>
      </c>
      <c r="AL21" s="364">
        <f>IFERROR(VLOOKUP(AL19,'M1 - TK'!$A$63:$B$79,2,FALSE),0)</f>
        <v>0</v>
      </c>
      <c r="AM21" s="364">
        <f>IFERROR(VLOOKUP(AM19,'M1 - TK'!$A$63:$B$79,2,FALSE),0)</f>
        <v>0</v>
      </c>
      <c r="AN21" s="364">
        <f>IFERROR(VLOOKUP(AN19,'M1 - TK'!$A$63:$B$79,2,FALSE),0)</f>
        <v>0</v>
      </c>
      <c r="AO21" s="364">
        <f>IFERROR(VLOOKUP(AO19,'M1 - TK'!$A$63:$B$79,2,FALSE),0)</f>
        <v>0</v>
      </c>
      <c r="AP21" s="364">
        <f>IFERROR(VLOOKUP(AP19,'M1 - TK'!$A$63:$B$79,2,FALSE),0)</f>
        <v>0</v>
      </c>
      <c r="AQ21" s="364">
        <f>IFERROR(VLOOKUP(AQ19,'M1 - TK'!$A$63:$B$79,2,FALSE),0)</f>
        <v>0</v>
      </c>
      <c r="AR21" s="721">
        <f>IFERROR(VLOOKUP(AR19,'M1 - TK'!$A$80:$B$82,2,FALSE),0)</f>
        <v>0</v>
      </c>
      <c r="AS21" s="364">
        <f>IFERROR(VLOOKUP(AS19,'M1 - TK'!$A$80:$B$82,2,FALSE),0)</f>
        <v>0</v>
      </c>
      <c r="AT21" s="1158">
        <f>IFERROR(VLOOKUP(AT19,'M1 - TK'!$A$80:$B$82,2,FALSE),0)</f>
        <v>0</v>
      </c>
      <c r="AU21" s="27"/>
      <c r="AV21" s="27"/>
      <c r="AW21" s="29"/>
      <c r="RA21"/>
    </row>
    <row r="22" spans="1:469" ht="58.5" customHeight="1" thickBot="1">
      <c r="A22" s="530"/>
      <c r="B22" s="391"/>
      <c r="C22" s="707"/>
      <c r="D22" s="658"/>
      <c r="E22" s="661" t="s">
        <v>35</v>
      </c>
      <c r="F22" s="662" t="s">
        <v>22</v>
      </c>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367"/>
      <c r="AR22" s="722"/>
      <c r="AS22" s="175"/>
      <c r="AT22" s="324"/>
      <c r="AU22" s="27"/>
      <c r="AV22" s="27"/>
      <c r="AW22" s="29"/>
      <c r="RA22"/>
    </row>
    <row r="23" spans="1:469" ht="44.25" customHeight="1" thickBot="1">
      <c r="A23" s="1191" t="s">
        <v>2667</v>
      </c>
      <c r="B23" s="1192"/>
      <c r="C23" s="1193"/>
      <c r="D23" s="658"/>
      <c r="E23" s="661" t="s">
        <v>2655</v>
      </c>
      <c r="F23" s="662"/>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139"/>
      <c r="AR23" s="663"/>
      <c r="AS23" s="175"/>
      <c r="AT23" s="1139"/>
      <c r="AU23" s="27"/>
      <c r="AV23" s="27"/>
      <c r="AW23" s="29"/>
      <c r="RA23"/>
    </row>
    <row r="24" spans="1:469" ht="29.25" customHeight="1" thickBot="1">
      <c r="A24" s="1227" t="s">
        <v>2654</v>
      </c>
      <c r="B24" s="1228"/>
      <c r="C24" s="1229"/>
      <c r="D24" s="658"/>
      <c r="E24" s="661" t="s">
        <v>2653</v>
      </c>
      <c r="F24" s="662" t="s">
        <v>36</v>
      </c>
      <c r="G24" s="556" t="s">
        <v>37</v>
      </c>
      <c r="H24" s="175" t="s">
        <v>37</v>
      </c>
      <c r="I24" s="175" t="s">
        <v>37</v>
      </c>
      <c r="J24" s="175" t="s">
        <v>37</v>
      </c>
      <c r="K24" s="175" t="s">
        <v>37</v>
      </c>
      <c r="L24" s="175" t="s">
        <v>37</v>
      </c>
      <c r="M24" s="175" t="s">
        <v>37</v>
      </c>
      <c r="N24" s="175" t="s">
        <v>37</v>
      </c>
      <c r="O24" s="175" t="s">
        <v>37</v>
      </c>
      <c r="P24" s="175" t="s">
        <v>37</v>
      </c>
      <c r="Q24" s="175" t="s">
        <v>37</v>
      </c>
      <c r="R24" s="175" t="s">
        <v>37</v>
      </c>
      <c r="S24" s="175" t="s">
        <v>37</v>
      </c>
      <c r="T24" s="175" t="s">
        <v>37</v>
      </c>
      <c r="U24" s="175" t="s">
        <v>37</v>
      </c>
      <c r="V24" s="175" t="s">
        <v>37</v>
      </c>
      <c r="W24" s="175" t="s">
        <v>37</v>
      </c>
      <c r="X24" s="175" t="s">
        <v>37</v>
      </c>
      <c r="Y24" s="175" t="s">
        <v>37</v>
      </c>
      <c r="Z24" s="175" t="s">
        <v>37</v>
      </c>
      <c r="AA24" s="175" t="s">
        <v>37</v>
      </c>
      <c r="AB24" s="175" t="s">
        <v>37</v>
      </c>
      <c r="AC24" s="175" t="s">
        <v>37</v>
      </c>
      <c r="AD24" s="175" t="s">
        <v>37</v>
      </c>
      <c r="AE24" s="175" t="s">
        <v>37</v>
      </c>
      <c r="AF24" s="175" t="s">
        <v>37</v>
      </c>
      <c r="AG24" s="175" t="s">
        <v>37</v>
      </c>
      <c r="AH24" s="175" t="s">
        <v>37</v>
      </c>
      <c r="AI24" s="175" t="s">
        <v>37</v>
      </c>
      <c r="AJ24" s="175" t="s">
        <v>37</v>
      </c>
      <c r="AK24" s="175" t="s">
        <v>37</v>
      </c>
      <c r="AL24" s="175" t="s">
        <v>37</v>
      </c>
      <c r="AM24" s="175" t="s">
        <v>37</v>
      </c>
      <c r="AN24" s="175" t="s">
        <v>37</v>
      </c>
      <c r="AO24" s="175" t="s">
        <v>37</v>
      </c>
      <c r="AP24" s="175" t="s">
        <v>37</v>
      </c>
      <c r="AQ24" s="175" t="s">
        <v>37</v>
      </c>
      <c r="AR24" s="722" t="s">
        <v>37</v>
      </c>
      <c r="AS24" s="175" t="s">
        <v>37</v>
      </c>
      <c r="AT24" s="324" t="s">
        <v>37</v>
      </c>
      <c r="AU24" s="27"/>
      <c r="AV24" s="27"/>
      <c r="AW24" s="29"/>
      <c r="RA24"/>
    </row>
    <row r="25" spans="1:469" ht="18" customHeight="1" thickBot="1">
      <c r="A25" s="530"/>
      <c r="B25" s="391"/>
      <c r="C25" s="707"/>
      <c r="D25" s="658"/>
      <c r="E25" s="661" t="s">
        <v>2573</v>
      </c>
      <c r="F25" s="662" t="s">
        <v>38</v>
      </c>
      <c r="G25" s="175"/>
      <c r="H25" s="175"/>
      <c r="I25" s="175"/>
      <c r="J25" s="175"/>
      <c r="K25" s="175"/>
      <c r="L25" s="175"/>
      <c r="M25" s="175"/>
      <c r="N25" s="175"/>
      <c r="O25" s="175"/>
      <c r="P25" s="175"/>
      <c r="Q25" s="175"/>
      <c r="R25" s="175"/>
      <c r="S25" s="175"/>
      <c r="T25" s="175"/>
      <c r="U25" s="175"/>
      <c r="V25" s="175"/>
      <c r="W25" s="175"/>
      <c r="X25" s="175"/>
      <c r="Y25" s="175"/>
      <c r="Z25" s="175"/>
      <c r="AA25" s="175"/>
      <c r="AB25" s="663"/>
      <c r="AC25" s="175"/>
      <c r="AD25" s="175"/>
      <c r="AE25" s="175"/>
      <c r="AF25" s="175"/>
      <c r="AG25" s="175"/>
      <c r="AH25" s="175"/>
      <c r="AI25" s="175"/>
      <c r="AJ25" s="175"/>
      <c r="AK25" s="175"/>
      <c r="AL25" s="175"/>
      <c r="AM25" s="175"/>
      <c r="AN25" s="175"/>
      <c r="AO25" s="175"/>
      <c r="AP25" s="175"/>
      <c r="AQ25" s="367"/>
      <c r="AR25" s="722"/>
      <c r="AS25" s="175"/>
      <c r="AT25" s="324"/>
      <c r="AU25" s="27"/>
      <c r="AV25" s="27"/>
      <c r="AW25" s="29"/>
      <c r="RA25"/>
    </row>
    <row r="26" spans="1:469" ht="18" customHeight="1" thickBot="1">
      <c r="A26" s="1191" t="s">
        <v>39</v>
      </c>
      <c r="B26" s="1192"/>
      <c r="C26" s="1193"/>
      <c r="D26" s="658"/>
      <c r="E26" s="661" t="s">
        <v>40</v>
      </c>
      <c r="F26" s="662" t="s">
        <v>36</v>
      </c>
      <c r="G26" s="175"/>
      <c r="H26" s="175"/>
      <c r="I26" s="175"/>
      <c r="J26" s="175"/>
      <c r="K26" s="175"/>
      <c r="L26" s="175"/>
      <c r="M26" s="175"/>
      <c r="N26" s="175"/>
      <c r="O26" s="175"/>
      <c r="P26" s="175"/>
      <c r="Q26" s="175"/>
      <c r="R26" s="175"/>
      <c r="S26" s="175"/>
      <c r="T26" s="175"/>
      <c r="U26" s="175"/>
      <c r="V26" s="175"/>
      <c r="W26" s="175"/>
      <c r="X26" s="175"/>
      <c r="Y26" s="175"/>
      <c r="Z26" s="175"/>
      <c r="AA26" s="175"/>
      <c r="AB26" s="663"/>
      <c r="AC26" s="175"/>
      <c r="AD26" s="175"/>
      <c r="AE26" s="175"/>
      <c r="AF26" s="175"/>
      <c r="AG26" s="175"/>
      <c r="AH26" s="175"/>
      <c r="AI26" s="175"/>
      <c r="AJ26" s="175"/>
      <c r="AK26" s="175"/>
      <c r="AL26" s="175"/>
      <c r="AM26" s="175"/>
      <c r="AN26" s="175"/>
      <c r="AO26" s="175"/>
      <c r="AP26" s="175"/>
      <c r="AQ26" s="367"/>
      <c r="AR26" s="722"/>
      <c r="AS26" s="175"/>
      <c r="AT26" s="324"/>
      <c r="AU26" s="27"/>
      <c r="AV26" s="27"/>
      <c r="AW26" s="29"/>
      <c r="RA26"/>
    </row>
    <row r="27" spans="1:469" ht="89.15" customHeight="1" thickBot="1">
      <c r="A27" s="1191" t="s">
        <v>41</v>
      </c>
      <c r="B27" s="1192"/>
      <c r="C27" s="1193"/>
      <c r="D27" s="658"/>
      <c r="E27" s="661" t="s">
        <v>42</v>
      </c>
      <c r="F27" s="662" t="s">
        <v>43</v>
      </c>
      <c r="G27" s="175"/>
      <c r="H27" s="175"/>
      <c r="I27" s="175"/>
      <c r="J27" s="175"/>
      <c r="K27" s="175"/>
      <c r="L27" s="175"/>
      <c r="M27" s="175"/>
      <c r="N27" s="175"/>
      <c r="O27" s="175"/>
      <c r="P27" s="175"/>
      <c r="Q27" s="175"/>
      <c r="R27" s="175"/>
      <c r="S27" s="175"/>
      <c r="T27" s="175"/>
      <c r="U27" s="175"/>
      <c r="V27" s="175"/>
      <c r="W27" s="175"/>
      <c r="X27" s="175"/>
      <c r="Y27" s="175"/>
      <c r="Z27" s="175"/>
      <c r="AA27" s="175"/>
      <c r="AB27" s="663"/>
      <c r="AC27" s="175"/>
      <c r="AD27" s="175"/>
      <c r="AE27" s="175"/>
      <c r="AF27" s="175"/>
      <c r="AG27" s="175"/>
      <c r="AH27" s="175"/>
      <c r="AI27" s="175"/>
      <c r="AJ27" s="175"/>
      <c r="AK27" s="175"/>
      <c r="AL27" s="175"/>
      <c r="AM27" s="175"/>
      <c r="AN27" s="175"/>
      <c r="AO27" s="175"/>
      <c r="AP27" s="175"/>
      <c r="AQ27" s="367"/>
      <c r="AR27" s="722"/>
      <c r="AS27" s="175"/>
      <c r="AT27" s="324"/>
      <c r="AU27" s="27"/>
      <c r="AV27" s="27"/>
      <c r="AW27" s="29"/>
      <c r="RA27"/>
    </row>
    <row r="28" spans="1:469" ht="33" hidden="1" customHeight="1">
      <c r="A28" s="1191" t="s">
        <v>44</v>
      </c>
      <c r="B28" s="1192"/>
      <c r="C28" s="1193"/>
      <c r="D28" s="658"/>
      <c r="E28" s="661" t="s">
        <v>45</v>
      </c>
      <c r="F28" s="662"/>
      <c r="G28" s="175"/>
      <c r="H28" s="175"/>
      <c r="I28" s="175"/>
      <c r="J28" s="175"/>
      <c r="K28" s="175"/>
      <c r="L28" s="175"/>
      <c r="M28" s="175"/>
      <c r="N28" s="175"/>
      <c r="O28" s="175"/>
      <c r="P28" s="175"/>
      <c r="Q28" s="175"/>
      <c r="R28" s="175"/>
      <c r="S28" s="175"/>
      <c r="T28" s="175"/>
      <c r="U28" s="175"/>
      <c r="V28" s="175"/>
      <c r="W28" s="175"/>
      <c r="X28" s="175"/>
      <c r="Y28" s="175"/>
      <c r="Z28" s="175"/>
      <c r="AA28" s="175"/>
      <c r="AB28" s="663"/>
      <c r="AC28" s="175"/>
      <c r="AD28" s="175"/>
      <c r="AE28" s="175"/>
      <c r="AF28" s="175"/>
      <c r="AG28" s="175"/>
      <c r="AH28" s="175"/>
      <c r="AI28" s="175"/>
      <c r="AJ28" s="175"/>
      <c r="AK28" s="175"/>
      <c r="AL28" s="175"/>
      <c r="AM28" s="175"/>
      <c r="AN28" s="175"/>
      <c r="AO28" s="175"/>
      <c r="AP28" s="175"/>
      <c r="AQ28" s="367"/>
      <c r="AR28" s="722"/>
      <c r="AS28" s="175"/>
      <c r="AT28" s="324"/>
      <c r="AU28" s="27"/>
      <c r="AV28" s="27"/>
      <c r="AW28" s="29"/>
      <c r="RA28"/>
    </row>
    <row r="29" spans="1:469" ht="75" hidden="1" customHeight="1" thickBot="1">
      <c r="A29" s="1194"/>
      <c r="B29" s="1195"/>
      <c r="C29" s="1196"/>
      <c r="D29" s="658"/>
      <c r="E29" s="661" t="s">
        <v>46</v>
      </c>
      <c r="F29" s="662" t="s">
        <v>43</v>
      </c>
      <c r="G29" s="175"/>
      <c r="H29" s="175"/>
      <c r="I29" s="175"/>
      <c r="J29" s="175"/>
      <c r="K29" s="175"/>
      <c r="L29" s="175"/>
      <c r="M29" s="175"/>
      <c r="N29" s="175"/>
      <c r="O29" s="175"/>
      <c r="P29" s="175"/>
      <c r="Q29" s="175"/>
      <c r="R29" s="175"/>
      <c r="S29" s="175"/>
      <c r="T29" s="175"/>
      <c r="U29" s="175"/>
      <c r="V29" s="175"/>
      <c r="W29" s="175"/>
      <c r="X29" s="175"/>
      <c r="Y29" s="175"/>
      <c r="Z29" s="175"/>
      <c r="AA29" s="175"/>
      <c r="AB29" s="663"/>
      <c r="AC29" s="175"/>
      <c r="AD29" s="175"/>
      <c r="AE29" s="175"/>
      <c r="AF29" s="175"/>
      <c r="AG29" s="175"/>
      <c r="AH29" s="175"/>
      <c r="AI29" s="175"/>
      <c r="AJ29" s="175"/>
      <c r="AK29" s="175"/>
      <c r="AL29" s="175"/>
      <c r="AM29" s="175"/>
      <c r="AN29" s="175"/>
      <c r="AO29" s="175"/>
      <c r="AP29" s="175"/>
      <c r="AQ29" s="367"/>
      <c r="AR29" s="722"/>
      <c r="AS29" s="175"/>
      <c r="AT29" s="324"/>
      <c r="AU29" s="27"/>
      <c r="AV29" s="27"/>
      <c r="AW29" s="29"/>
      <c r="RA29"/>
    </row>
    <row r="30" spans="1:469" ht="18" customHeight="1">
      <c r="A30" s="1191" t="s">
        <v>47</v>
      </c>
      <c r="B30" s="1192"/>
      <c r="C30" s="1193"/>
      <c r="D30" s="658"/>
      <c r="E30" s="174" t="s">
        <v>48</v>
      </c>
      <c r="F30" s="665" t="s">
        <v>49</v>
      </c>
      <c r="G30" s="175"/>
      <c r="H30" s="175"/>
      <c r="I30" s="175"/>
      <c r="J30" s="175"/>
      <c r="K30" s="175"/>
      <c r="L30" s="175"/>
      <c r="M30" s="175"/>
      <c r="N30" s="175"/>
      <c r="O30" s="175"/>
      <c r="P30" s="175"/>
      <c r="Q30" s="175"/>
      <c r="R30" s="175"/>
      <c r="S30" s="175"/>
      <c r="T30" s="175"/>
      <c r="U30" s="175"/>
      <c r="V30" s="175"/>
      <c r="W30" s="175"/>
      <c r="X30" s="175"/>
      <c r="Y30" s="175"/>
      <c r="Z30" s="175"/>
      <c r="AA30" s="175"/>
      <c r="AB30" s="663"/>
      <c r="AC30" s="175"/>
      <c r="AD30" s="175"/>
      <c r="AE30" s="175"/>
      <c r="AF30" s="175"/>
      <c r="AG30" s="175"/>
      <c r="AH30" s="175"/>
      <c r="AI30" s="175"/>
      <c r="AJ30" s="175"/>
      <c r="AK30" s="175"/>
      <c r="AL30" s="175"/>
      <c r="AM30" s="175"/>
      <c r="AN30" s="175"/>
      <c r="AO30" s="175"/>
      <c r="AP30" s="175"/>
      <c r="AQ30" s="367"/>
      <c r="AR30" s="722"/>
      <c r="AS30" s="175"/>
      <c r="AT30" s="324"/>
      <c r="AU30" s="27"/>
      <c r="AV30" s="27"/>
      <c r="AW30" s="29"/>
      <c r="RA30"/>
    </row>
    <row r="31" spans="1:469" ht="23.9" customHeight="1">
      <c r="A31" s="1194"/>
      <c r="B31" s="1195"/>
      <c r="C31" s="1196"/>
      <c r="D31" s="658"/>
      <c r="E31" s="174" t="s">
        <v>50</v>
      </c>
      <c r="F31" s="665" t="s">
        <v>51</v>
      </c>
      <c r="G31" s="175"/>
      <c r="H31" s="175"/>
      <c r="I31" s="175"/>
      <c r="J31" s="175"/>
      <c r="K31" s="175"/>
      <c r="L31" s="175"/>
      <c r="M31" s="175"/>
      <c r="N31" s="175"/>
      <c r="O31" s="175"/>
      <c r="P31" s="175"/>
      <c r="Q31" s="175"/>
      <c r="R31" s="175"/>
      <c r="S31" s="175"/>
      <c r="T31" s="175"/>
      <c r="U31" s="175"/>
      <c r="V31" s="175"/>
      <c r="W31" s="175"/>
      <c r="X31" s="175"/>
      <c r="Y31" s="175"/>
      <c r="Z31" s="175"/>
      <c r="AA31" s="175"/>
      <c r="AB31" s="663"/>
      <c r="AC31" s="175"/>
      <c r="AD31" s="175"/>
      <c r="AE31" s="175"/>
      <c r="AF31" s="175"/>
      <c r="AG31" s="175"/>
      <c r="AH31" s="175"/>
      <c r="AI31" s="175"/>
      <c r="AJ31" s="175"/>
      <c r="AK31" s="175"/>
      <c r="AL31" s="175"/>
      <c r="AM31" s="175"/>
      <c r="AN31" s="175"/>
      <c r="AO31" s="175"/>
      <c r="AP31" s="175"/>
      <c r="AQ31" s="367"/>
      <c r="AR31" s="722"/>
      <c r="AS31" s="175"/>
      <c r="AT31" s="324"/>
      <c r="AU31" s="27"/>
      <c r="AV31" s="27"/>
      <c r="AW31" s="29"/>
      <c r="RA31"/>
    </row>
    <row r="32" spans="1:469" ht="32.15" customHeight="1" thickBot="1">
      <c r="A32" s="1194"/>
      <c r="B32" s="1195"/>
      <c r="C32" s="1196"/>
      <c r="D32" s="658"/>
      <c r="E32" s="174" t="s">
        <v>52</v>
      </c>
      <c r="F32" s="665" t="s">
        <v>53</v>
      </c>
      <c r="G32" s="175"/>
      <c r="H32" s="175"/>
      <c r="I32" s="175"/>
      <c r="J32" s="175"/>
      <c r="K32" s="175"/>
      <c r="L32" s="175"/>
      <c r="M32" s="175"/>
      <c r="N32" s="175"/>
      <c r="O32" s="175"/>
      <c r="P32" s="175"/>
      <c r="Q32" s="175"/>
      <c r="R32" s="175"/>
      <c r="S32" s="175"/>
      <c r="T32" s="175"/>
      <c r="U32" s="175"/>
      <c r="V32" s="175"/>
      <c r="W32" s="175"/>
      <c r="X32" s="175"/>
      <c r="Y32" s="175"/>
      <c r="Z32" s="175"/>
      <c r="AA32" s="175"/>
      <c r="AB32" s="663"/>
      <c r="AC32" s="175"/>
      <c r="AD32" s="175"/>
      <c r="AE32" s="175"/>
      <c r="AF32" s="175"/>
      <c r="AG32" s="175"/>
      <c r="AH32" s="175"/>
      <c r="AI32" s="175"/>
      <c r="AJ32" s="175"/>
      <c r="AK32" s="175"/>
      <c r="AL32" s="175"/>
      <c r="AM32" s="175"/>
      <c r="AN32" s="175"/>
      <c r="AO32" s="175"/>
      <c r="AP32" s="175"/>
      <c r="AQ32" s="367"/>
      <c r="AR32" s="722"/>
      <c r="AS32" s="175"/>
      <c r="AT32" s="324"/>
      <c r="AU32" s="27"/>
      <c r="AV32" s="27"/>
      <c r="AW32" s="29"/>
      <c r="RA32"/>
    </row>
    <row r="33" spans="1:469" ht="33" customHeight="1">
      <c r="A33" s="1191" t="s">
        <v>54</v>
      </c>
      <c r="B33" s="1192"/>
      <c r="C33" s="1193"/>
      <c r="D33" s="658"/>
      <c r="E33" s="666" t="s">
        <v>55</v>
      </c>
      <c r="F33" s="665" t="s">
        <v>56</v>
      </c>
      <c r="G33" s="175"/>
      <c r="H33" s="175"/>
      <c r="I33" s="175"/>
      <c r="J33" s="175"/>
      <c r="K33" s="175"/>
      <c r="L33" s="175"/>
      <c r="M33" s="175"/>
      <c r="N33" s="175"/>
      <c r="O33" s="175"/>
      <c r="P33" s="175"/>
      <c r="Q33" s="175"/>
      <c r="R33" s="175"/>
      <c r="S33" s="175"/>
      <c r="T33" s="175"/>
      <c r="U33" s="175"/>
      <c r="V33" s="175"/>
      <c r="W33" s="175"/>
      <c r="X33" s="175"/>
      <c r="Y33" s="175"/>
      <c r="Z33" s="175"/>
      <c r="AA33" s="175"/>
      <c r="AB33" s="663"/>
      <c r="AC33" s="175"/>
      <c r="AD33" s="175"/>
      <c r="AE33" s="175"/>
      <c r="AF33" s="175"/>
      <c r="AG33" s="175"/>
      <c r="AH33" s="175"/>
      <c r="AI33" s="175"/>
      <c r="AJ33" s="175"/>
      <c r="AK33" s="175"/>
      <c r="AL33" s="175"/>
      <c r="AM33" s="175"/>
      <c r="AN33" s="175"/>
      <c r="AO33" s="175"/>
      <c r="AP33" s="175"/>
      <c r="AQ33" s="367"/>
      <c r="AR33" s="722"/>
      <c r="AS33" s="175"/>
      <c r="AT33" s="324"/>
      <c r="AU33" s="27"/>
      <c r="AV33" s="27"/>
      <c r="AW33" s="29"/>
      <c r="RA33"/>
    </row>
    <row r="34" spans="1:469" ht="32.15" customHeight="1">
      <c r="A34" s="1194"/>
      <c r="B34" s="1195"/>
      <c r="C34" s="1196"/>
      <c r="D34" s="658"/>
      <c r="E34" s="666" t="s">
        <v>57</v>
      </c>
      <c r="F34" s="665" t="s">
        <v>56</v>
      </c>
      <c r="G34" s="175"/>
      <c r="H34" s="175"/>
      <c r="I34" s="175"/>
      <c r="J34" s="175"/>
      <c r="K34" s="175"/>
      <c r="L34" s="175"/>
      <c r="M34" s="175"/>
      <c r="N34" s="175"/>
      <c r="O34" s="175"/>
      <c r="P34" s="175"/>
      <c r="Q34" s="175"/>
      <c r="R34" s="175"/>
      <c r="S34" s="175"/>
      <c r="T34" s="175"/>
      <c r="U34" s="175"/>
      <c r="V34" s="175"/>
      <c r="W34" s="175"/>
      <c r="X34" s="175"/>
      <c r="Y34" s="175"/>
      <c r="Z34" s="175"/>
      <c r="AA34" s="175"/>
      <c r="AB34" s="663"/>
      <c r="AC34" s="175"/>
      <c r="AD34" s="175"/>
      <c r="AE34" s="175"/>
      <c r="AF34" s="175"/>
      <c r="AG34" s="175"/>
      <c r="AH34" s="175"/>
      <c r="AI34" s="175"/>
      <c r="AJ34" s="175"/>
      <c r="AK34" s="175"/>
      <c r="AL34" s="175"/>
      <c r="AM34" s="175"/>
      <c r="AN34" s="175"/>
      <c r="AO34" s="175"/>
      <c r="AP34" s="175"/>
      <c r="AQ34" s="367"/>
      <c r="AR34" s="722"/>
      <c r="AS34" s="175"/>
      <c r="AT34" s="324"/>
      <c r="AU34" s="27"/>
      <c r="AV34" s="27"/>
      <c r="AW34" s="29"/>
      <c r="RA34"/>
    </row>
    <row r="35" spans="1:469" ht="32.15" customHeight="1" thickBot="1">
      <c r="A35" s="1197"/>
      <c r="B35" s="1198"/>
      <c r="C35" s="1199"/>
      <c r="D35" s="658"/>
      <c r="E35" s="667" t="s">
        <v>58</v>
      </c>
      <c r="F35" s="665" t="s">
        <v>56</v>
      </c>
      <c r="G35" s="175"/>
      <c r="H35" s="175"/>
      <c r="I35" s="175"/>
      <c r="J35" s="175"/>
      <c r="K35" s="175"/>
      <c r="L35" s="175"/>
      <c r="M35" s="175"/>
      <c r="N35" s="175"/>
      <c r="O35" s="175"/>
      <c r="P35" s="175"/>
      <c r="Q35" s="175"/>
      <c r="R35" s="175"/>
      <c r="S35" s="175"/>
      <c r="T35" s="175"/>
      <c r="U35" s="175"/>
      <c r="V35" s="175"/>
      <c r="W35" s="175"/>
      <c r="X35" s="175"/>
      <c r="Y35" s="175"/>
      <c r="Z35" s="175"/>
      <c r="AA35" s="175"/>
      <c r="AB35" s="663"/>
      <c r="AC35" s="175"/>
      <c r="AD35" s="175"/>
      <c r="AE35" s="175"/>
      <c r="AF35" s="175"/>
      <c r="AG35" s="175"/>
      <c r="AH35" s="175"/>
      <c r="AI35" s="175"/>
      <c r="AJ35" s="175"/>
      <c r="AK35" s="175"/>
      <c r="AL35" s="175"/>
      <c r="AM35" s="175"/>
      <c r="AN35" s="175"/>
      <c r="AO35" s="175"/>
      <c r="AP35" s="175"/>
      <c r="AQ35" s="367"/>
      <c r="AR35" s="722"/>
      <c r="AS35" s="175"/>
      <c r="AT35" s="324"/>
      <c r="AU35" s="27"/>
      <c r="AV35" s="27"/>
      <c r="AW35" s="29"/>
      <c r="RA35"/>
    </row>
    <row r="36" spans="1:469" ht="17.899999999999999" customHeight="1" thickBot="1">
      <c r="A36" s="414"/>
      <c r="B36" s="27"/>
      <c r="C36" s="415"/>
      <c r="D36" s="654" t="s">
        <v>59</v>
      </c>
      <c r="E36" s="338" t="s">
        <v>18</v>
      </c>
      <c r="F36" s="649" t="s">
        <v>19</v>
      </c>
      <c r="G36" s="668"/>
      <c r="H36" s="664"/>
      <c r="I36" s="664"/>
      <c r="J36" s="664"/>
      <c r="K36" s="664"/>
      <c r="L36" s="664"/>
      <c r="M36" s="664"/>
      <c r="N36" s="664"/>
      <c r="O36" s="664"/>
      <c r="P36" s="664"/>
      <c r="Q36" s="664"/>
      <c r="R36" s="664"/>
      <c r="S36" s="664"/>
      <c r="T36" s="664"/>
      <c r="U36" s="664"/>
      <c r="V36" s="664"/>
      <c r="W36" s="664"/>
      <c r="X36" s="664"/>
      <c r="Y36" s="664"/>
      <c r="Z36" s="664"/>
      <c r="AA36" s="664"/>
      <c r="AB36" s="669"/>
      <c r="AC36" s="664"/>
      <c r="AD36" s="664"/>
      <c r="AE36" s="664"/>
      <c r="AF36" s="664"/>
      <c r="AG36" s="664"/>
      <c r="AH36" s="664"/>
      <c r="AI36" s="664"/>
      <c r="AJ36" s="664"/>
      <c r="AK36" s="664"/>
      <c r="AL36" s="664"/>
      <c r="AM36" s="664"/>
      <c r="AN36" s="664"/>
      <c r="AO36" s="664"/>
      <c r="AP36" s="664"/>
      <c r="AQ36" s="719"/>
      <c r="AR36" s="723"/>
      <c r="AS36" s="664"/>
      <c r="AT36" s="724"/>
      <c r="AU36" s="27"/>
      <c r="AV36" s="27"/>
      <c r="AW36" s="29"/>
      <c r="RA36"/>
    </row>
    <row r="37" spans="1:469" ht="17.899999999999999" customHeight="1">
      <c r="A37" s="1191" t="s">
        <v>60</v>
      </c>
      <c r="B37" s="1192"/>
      <c r="C37" s="1193"/>
      <c r="D37" s="658"/>
      <c r="E37" s="670" t="s">
        <v>61</v>
      </c>
      <c r="F37" s="660" t="s">
        <v>38</v>
      </c>
      <c r="G37" s="175"/>
      <c r="H37" s="175"/>
      <c r="I37" s="175"/>
      <c r="J37" s="175"/>
      <c r="K37" s="175"/>
      <c r="L37" s="175"/>
      <c r="M37" s="175"/>
      <c r="N37" s="175"/>
      <c r="O37" s="175"/>
      <c r="P37" s="175"/>
      <c r="Q37" s="175"/>
      <c r="R37" s="175"/>
      <c r="S37" s="175"/>
      <c r="T37" s="175"/>
      <c r="U37" s="175"/>
      <c r="V37" s="175"/>
      <c r="W37" s="175"/>
      <c r="X37" s="175"/>
      <c r="Y37" s="175"/>
      <c r="Z37" s="175"/>
      <c r="AA37" s="175"/>
      <c r="AB37" s="663"/>
      <c r="AC37" s="175"/>
      <c r="AD37" s="175"/>
      <c r="AE37" s="175"/>
      <c r="AF37" s="175"/>
      <c r="AG37" s="175"/>
      <c r="AH37" s="175"/>
      <c r="AI37" s="175"/>
      <c r="AJ37" s="175"/>
      <c r="AK37" s="175"/>
      <c r="AL37" s="175"/>
      <c r="AM37" s="175"/>
      <c r="AN37" s="175"/>
      <c r="AO37" s="175"/>
      <c r="AP37" s="175"/>
      <c r="AQ37" s="367"/>
      <c r="AR37" s="722"/>
      <c r="AS37" s="175"/>
      <c r="AT37" s="324"/>
      <c r="AU37" s="27"/>
      <c r="AV37" s="27"/>
      <c r="AW37" s="29"/>
      <c r="RA37"/>
    </row>
    <row r="38" spans="1:469" ht="24" customHeight="1">
      <c r="A38" s="1194"/>
      <c r="B38" s="1195"/>
      <c r="C38" s="1196"/>
      <c r="D38" s="658"/>
      <c r="E38" s="666" t="s">
        <v>62</v>
      </c>
      <c r="F38" s="662" t="s">
        <v>22</v>
      </c>
      <c r="G38" s="175"/>
      <c r="H38" s="175"/>
      <c r="I38" s="175"/>
      <c r="J38" s="175"/>
      <c r="K38" s="175"/>
      <c r="L38" s="175"/>
      <c r="M38" s="175"/>
      <c r="N38" s="175"/>
      <c r="O38" s="175"/>
      <c r="P38" s="175"/>
      <c r="Q38" s="175"/>
      <c r="R38" s="175"/>
      <c r="S38" s="175"/>
      <c r="T38" s="175"/>
      <c r="U38" s="175"/>
      <c r="V38" s="175"/>
      <c r="W38" s="175"/>
      <c r="X38" s="175"/>
      <c r="Y38" s="175"/>
      <c r="Z38" s="175"/>
      <c r="AA38" s="175"/>
      <c r="AB38" s="663"/>
      <c r="AC38" s="175"/>
      <c r="AD38" s="175"/>
      <c r="AE38" s="175"/>
      <c r="AF38" s="175"/>
      <c r="AG38" s="175"/>
      <c r="AH38" s="175"/>
      <c r="AI38" s="175"/>
      <c r="AJ38" s="175"/>
      <c r="AK38" s="175"/>
      <c r="AL38" s="175"/>
      <c r="AM38" s="175"/>
      <c r="AN38" s="175"/>
      <c r="AO38" s="175"/>
      <c r="AP38" s="175"/>
      <c r="AQ38" s="367"/>
      <c r="AR38" s="722"/>
      <c r="AS38" s="175"/>
      <c r="AT38" s="324"/>
      <c r="AU38" s="27"/>
      <c r="AV38" s="27"/>
      <c r="AW38" s="29"/>
      <c r="RA38"/>
    </row>
    <row r="39" spans="1:469" ht="24" customHeight="1">
      <c r="A39" s="1194"/>
      <c r="B39" s="1195"/>
      <c r="C39" s="1196"/>
      <c r="D39" s="658"/>
      <c r="E39" s="666" t="s">
        <v>63</v>
      </c>
      <c r="F39" s="662" t="s">
        <v>38</v>
      </c>
      <c r="G39" s="175"/>
      <c r="H39" s="175"/>
      <c r="I39" s="175"/>
      <c r="J39" s="175"/>
      <c r="K39" s="175"/>
      <c r="L39" s="175"/>
      <c r="M39" s="175"/>
      <c r="N39" s="175"/>
      <c r="O39" s="175"/>
      <c r="P39" s="175"/>
      <c r="Q39" s="175"/>
      <c r="R39" s="175"/>
      <c r="S39" s="175"/>
      <c r="T39" s="175"/>
      <c r="U39" s="175"/>
      <c r="V39" s="175"/>
      <c r="W39" s="175"/>
      <c r="X39" s="175"/>
      <c r="Y39" s="175"/>
      <c r="Z39" s="175"/>
      <c r="AA39" s="175"/>
      <c r="AB39" s="663"/>
      <c r="AC39" s="175"/>
      <c r="AD39" s="175"/>
      <c r="AE39" s="175"/>
      <c r="AF39" s="175"/>
      <c r="AG39" s="175"/>
      <c r="AH39" s="175"/>
      <c r="AI39" s="175"/>
      <c r="AJ39" s="175"/>
      <c r="AK39" s="175"/>
      <c r="AL39" s="175"/>
      <c r="AM39" s="175"/>
      <c r="AN39" s="175"/>
      <c r="AO39" s="175"/>
      <c r="AP39" s="175"/>
      <c r="AQ39" s="367"/>
      <c r="AR39" s="722"/>
      <c r="AS39" s="175"/>
      <c r="AT39" s="324"/>
      <c r="AU39" s="27"/>
      <c r="AV39" s="27"/>
      <c r="AW39" s="29"/>
      <c r="RA39"/>
    </row>
    <row r="40" spans="1:469" ht="17.899999999999999" customHeight="1">
      <c r="A40" s="1194"/>
      <c r="B40" s="1195"/>
      <c r="C40" s="1196"/>
      <c r="D40" s="658"/>
      <c r="E40" s="666" t="s">
        <v>64</v>
      </c>
      <c r="F40" s="662" t="s">
        <v>22</v>
      </c>
      <c r="G40" s="175"/>
      <c r="H40" s="175"/>
      <c r="I40" s="175"/>
      <c r="J40" s="175"/>
      <c r="K40" s="175"/>
      <c r="L40" s="175"/>
      <c r="M40" s="175"/>
      <c r="N40" s="175"/>
      <c r="O40" s="175"/>
      <c r="P40" s="175"/>
      <c r="Q40" s="175"/>
      <c r="R40" s="175"/>
      <c r="S40" s="175"/>
      <c r="T40" s="175"/>
      <c r="U40" s="175"/>
      <c r="V40" s="175"/>
      <c r="W40" s="175"/>
      <c r="X40" s="175"/>
      <c r="Y40" s="175"/>
      <c r="Z40" s="175"/>
      <c r="AA40" s="175"/>
      <c r="AB40" s="663"/>
      <c r="AC40" s="175"/>
      <c r="AD40" s="175"/>
      <c r="AE40" s="175"/>
      <c r="AF40" s="175"/>
      <c r="AG40" s="175"/>
      <c r="AH40" s="175"/>
      <c r="AI40" s="175"/>
      <c r="AJ40" s="175"/>
      <c r="AK40" s="175"/>
      <c r="AL40" s="175"/>
      <c r="AM40" s="175"/>
      <c r="AN40" s="175"/>
      <c r="AO40" s="175"/>
      <c r="AP40" s="175"/>
      <c r="AQ40" s="367"/>
      <c r="AR40" s="722"/>
      <c r="AS40" s="175"/>
      <c r="AT40" s="324"/>
      <c r="AU40" s="27"/>
      <c r="AV40" s="27"/>
      <c r="AW40" s="29"/>
      <c r="RA40"/>
    </row>
    <row r="41" spans="1:469" ht="17.899999999999999" customHeight="1">
      <c r="A41" s="1194"/>
      <c r="B41" s="1195"/>
      <c r="C41" s="1196"/>
      <c r="D41" s="658"/>
      <c r="E41" s="666" t="s">
        <v>65</v>
      </c>
      <c r="F41" s="662" t="s">
        <v>38</v>
      </c>
      <c r="G41" s="175"/>
      <c r="H41" s="175"/>
      <c r="I41" s="175"/>
      <c r="J41" s="175"/>
      <c r="K41" s="175"/>
      <c r="L41" s="175"/>
      <c r="M41" s="175"/>
      <c r="N41" s="175"/>
      <c r="O41" s="175"/>
      <c r="P41" s="175"/>
      <c r="Q41" s="175"/>
      <c r="R41" s="175"/>
      <c r="S41" s="175"/>
      <c r="T41" s="175"/>
      <c r="U41" s="175"/>
      <c r="V41" s="175"/>
      <c r="W41" s="175"/>
      <c r="X41" s="175"/>
      <c r="Y41" s="175"/>
      <c r="Z41" s="175"/>
      <c r="AA41" s="175"/>
      <c r="AB41" s="663"/>
      <c r="AC41" s="175"/>
      <c r="AD41" s="175"/>
      <c r="AE41" s="175"/>
      <c r="AF41" s="175"/>
      <c r="AG41" s="175"/>
      <c r="AH41" s="175"/>
      <c r="AI41" s="175"/>
      <c r="AJ41" s="175"/>
      <c r="AK41" s="175"/>
      <c r="AL41" s="175"/>
      <c r="AM41" s="175"/>
      <c r="AN41" s="175"/>
      <c r="AO41" s="175"/>
      <c r="AP41" s="175"/>
      <c r="AQ41" s="367"/>
      <c r="AR41" s="722"/>
      <c r="AS41" s="175"/>
      <c r="AT41" s="324"/>
      <c r="AU41" s="27"/>
      <c r="AV41" s="27"/>
      <c r="AW41" s="29"/>
      <c r="RA41"/>
    </row>
    <row r="42" spans="1:469" ht="17.899999999999999" customHeight="1" thickBot="1">
      <c r="A42" s="1197"/>
      <c r="B42" s="1198"/>
      <c r="C42" s="1199"/>
      <c r="D42" s="658"/>
      <c r="E42" s="666" t="s">
        <v>66</v>
      </c>
      <c r="F42" s="662" t="s">
        <v>22</v>
      </c>
      <c r="G42" s="175"/>
      <c r="H42" s="175"/>
      <c r="I42" s="175"/>
      <c r="J42" s="175"/>
      <c r="K42" s="175"/>
      <c r="L42" s="175"/>
      <c r="M42" s="175"/>
      <c r="N42" s="175"/>
      <c r="O42" s="175"/>
      <c r="P42" s="175"/>
      <c r="Q42" s="175"/>
      <c r="R42" s="175"/>
      <c r="S42" s="175"/>
      <c r="T42" s="175"/>
      <c r="U42" s="175"/>
      <c r="V42" s="175"/>
      <c r="W42" s="175"/>
      <c r="X42" s="175"/>
      <c r="Y42" s="175"/>
      <c r="Z42" s="175"/>
      <c r="AA42" s="175"/>
      <c r="AB42" s="663"/>
      <c r="AC42" s="175"/>
      <c r="AD42" s="175"/>
      <c r="AE42" s="175"/>
      <c r="AF42" s="175"/>
      <c r="AG42" s="175"/>
      <c r="AH42" s="175"/>
      <c r="AI42" s="175"/>
      <c r="AJ42" s="175"/>
      <c r="AK42" s="175"/>
      <c r="AL42" s="175"/>
      <c r="AM42" s="175"/>
      <c r="AN42" s="175"/>
      <c r="AO42" s="175"/>
      <c r="AP42" s="175"/>
      <c r="AQ42" s="367"/>
      <c r="AR42" s="722"/>
      <c r="AS42" s="175"/>
      <c r="AT42" s="324"/>
      <c r="AU42" s="27"/>
      <c r="AV42" s="27"/>
      <c r="AW42" s="29"/>
      <c r="RA42"/>
    </row>
    <row r="43" spans="1:469" ht="17.899999999999999" customHeight="1">
      <c r="A43" s="1194" t="s">
        <v>67</v>
      </c>
      <c r="B43" s="1195"/>
      <c r="C43" s="1196"/>
      <c r="D43" s="658"/>
      <c r="E43" s="666" t="s">
        <v>68</v>
      </c>
      <c r="F43" s="662" t="s">
        <v>69</v>
      </c>
      <c r="G43" s="175"/>
      <c r="H43" s="175"/>
      <c r="I43" s="175"/>
      <c r="J43" s="175"/>
      <c r="K43" s="175"/>
      <c r="L43" s="175"/>
      <c r="M43" s="175"/>
      <c r="N43" s="175"/>
      <c r="O43" s="175"/>
      <c r="P43" s="175"/>
      <c r="Q43" s="175"/>
      <c r="R43" s="175"/>
      <c r="S43" s="175"/>
      <c r="T43" s="175"/>
      <c r="U43" s="175"/>
      <c r="V43" s="175"/>
      <c r="W43" s="175"/>
      <c r="X43" s="175"/>
      <c r="Y43" s="175"/>
      <c r="Z43" s="175"/>
      <c r="AA43" s="175"/>
      <c r="AB43" s="663"/>
      <c r="AC43" s="175"/>
      <c r="AD43" s="175"/>
      <c r="AE43" s="175"/>
      <c r="AF43" s="175"/>
      <c r="AG43" s="175"/>
      <c r="AH43" s="175"/>
      <c r="AI43" s="175"/>
      <c r="AJ43" s="175"/>
      <c r="AK43" s="175"/>
      <c r="AL43" s="175"/>
      <c r="AM43" s="175"/>
      <c r="AN43" s="175"/>
      <c r="AO43" s="175"/>
      <c r="AP43" s="175"/>
      <c r="AQ43" s="367"/>
      <c r="AR43" s="722"/>
      <c r="AS43" s="175"/>
      <c r="AT43" s="324"/>
      <c r="AU43" s="27"/>
      <c r="AV43" s="27"/>
      <c r="AW43" s="29"/>
      <c r="RA43"/>
    </row>
    <row r="44" spans="1:469" ht="17.899999999999999" customHeight="1">
      <c r="A44" s="1194"/>
      <c r="B44" s="1195"/>
      <c r="C44" s="1196"/>
      <c r="D44" s="658"/>
      <c r="E44" s="666" t="s">
        <v>70</v>
      </c>
      <c r="F44" s="662" t="s">
        <v>71</v>
      </c>
      <c r="G44" s="175"/>
      <c r="H44" s="175"/>
      <c r="I44" s="175"/>
      <c r="J44" s="175"/>
      <c r="K44" s="175"/>
      <c r="L44" s="175"/>
      <c r="M44" s="175"/>
      <c r="N44" s="175"/>
      <c r="O44" s="175"/>
      <c r="P44" s="175"/>
      <c r="Q44" s="175"/>
      <c r="R44" s="175"/>
      <c r="S44" s="175"/>
      <c r="T44" s="175"/>
      <c r="U44" s="175"/>
      <c r="V44" s="175"/>
      <c r="W44" s="175"/>
      <c r="X44" s="175"/>
      <c r="Y44" s="175"/>
      <c r="Z44" s="175"/>
      <c r="AA44" s="175"/>
      <c r="AB44" s="663"/>
      <c r="AC44" s="175"/>
      <c r="AD44" s="175"/>
      <c r="AE44" s="175"/>
      <c r="AF44" s="175"/>
      <c r="AG44" s="175"/>
      <c r="AH44" s="175"/>
      <c r="AI44" s="175"/>
      <c r="AJ44" s="175"/>
      <c r="AK44" s="175"/>
      <c r="AL44" s="175"/>
      <c r="AM44" s="175"/>
      <c r="AN44" s="175"/>
      <c r="AO44" s="175"/>
      <c r="AP44" s="175"/>
      <c r="AQ44" s="367"/>
      <c r="AR44" s="722"/>
      <c r="AS44" s="175"/>
      <c r="AT44" s="324"/>
      <c r="AU44" s="27"/>
      <c r="AV44" s="27"/>
      <c r="AW44" s="29"/>
      <c r="RA44"/>
    </row>
    <row r="45" spans="1:469" ht="17.899999999999999" customHeight="1">
      <c r="A45" s="1194"/>
      <c r="B45" s="1195"/>
      <c r="C45" s="1196"/>
      <c r="D45" s="658"/>
      <c r="E45" s="666" t="s">
        <v>72</v>
      </c>
      <c r="F45" s="662" t="s">
        <v>73</v>
      </c>
      <c r="G45" s="175"/>
      <c r="H45" s="175"/>
      <c r="I45" s="175"/>
      <c r="J45" s="175"/>
      <c r="K45" s="175"/>
      <c r="L45" s="175"/>
      <c r="M45" s="175"/>
      <c r="N45" s="175"/>
      <c r="O45" s="175"/>
      <c r="P45" s="175"/>
      <c r="Q45" s="175"/>
      <c r="R45" s="175"/>
      <c r="S45" s="175"/>
      <c r="T45" s="175"/>
      <c r="U45" s="175"/>
      <c r="V45" s="175"/>
      <c r="W45" s="175"/>
      <c r="X45" s="175"/>
      <c r="Y45" s="175"/>
      <c r="Z45" s="175"/>
      <c r="AA45" s="175"/>
      <c r="AB45" s="663"/>
      <c r="AC45" s="175"/>
      <c r="AD45" s="175"/>
      <c r="AE45" s="175"/>
      <c r="AF45" s="175"/>
      <c r="AG45" s="175"/>
      <c r="AH45" s="175"/>
      <c r="AI45" s="175"/>
      <c r="AJ45" s="175"/>
      <c r="AK45" s="175"/>
      <c r="AL45" s="175"/>
      <c r="AM45" s="175"/>
      <c r="AN45" s="175"/>
      <c r="AO45" s="175"/>
      <c r="AP45" s="175"/>
      <c r="AQ45" s="367"/>
      <c r="AR45" s="722"/>
      <c r="AS45" s="175"/>
      <c r="AT45" s="324"/>
      <c r="AU45" s="27"/>
      <c r="AV45" s="27"/>
      <c r="AW45" s="29"/>
      <c r="RA45"/>
    </row>
    <row r="46" spans="1:469" ht="17.899999999999999" customHeight="1">
      <c r="A46" s="1194"/>
      <c r="B46" s="1195"/>
      <c r="C46" s="1196"/>
      <c r="D46" s="658"/>
      <c r="E46" s="666" t="s">
        <v>74</v>
      </c>
      <c r="F46" s="662" t="s">
        <v>73</v>
      </c>
      <c r="G46" s="175"/>
      <c r="H46" s="175"/>
      <c r="I46" s="175"/>
      <c r="J46" s="175"/>
      <c r="K46" s="175"/>
      <c r="L46" s="175"/>
      <c r="M46" s="175"/>
      <c r="N46" s="175"/>
      <c r="O46" s="175"/>
      <c r="P46" s="175"/>
      <c r="Q46" s="175"/>
      <c r="R46" s="175"/>
      <c r="S46" s="175"/>
      <c r="T46" s="175"/>
      <c r="U46" s="175"/>
      <c r="V46" s="175"/>
      <c r="W46" s="175"/>
      <c r="X46" s="175"/>
      <c r="Y46" s="175"/>
      <c r="Z46" s="175"/>
      <c r="AA46" s="175"/>
      <c r="AB46" s="663"/>
      <c r="AC46" s="175"/>
      <c r="AD46" s="175"/>
      <c r="AE46" s="175"/>
      <c r="AF46" s="175"/>
      <c r="AG46" s="175"/>
      <c r="AH46" s="175"/>
      <c r="AI46" s="175"/>
      <c r="AJ46" s="175"/>
      <c r="AK46" s="175"/>
      <c r="AL46" s="175"/>
      <c r="AM46" s="175"/>
      <c r="AN46" s="175"/>
      <c r="AO46" s="175"/>
      <c r="AP46" s="175"/>
      <c r="AQ46" s="367"/>
      <c r="AR46" s="722"/>
      <c r="AS46" s="175"/>
      <c r="AT46" s="324"/>
      <c r="AU46" s="27"/>
      <c r="AV46" s="27"/>
      <c r="AW46" s="29"/>
      <c r="RA46"/>
    </row>
    <row r="47" spans="1:469" ht="17.899999999999999" customHeight="1">
      <c r="A47" s="1194"/>
      <c r="B47" s="1195"/>
      <c r="C47" s="1196"/>
      <c r="D47" s="658"/>
      <c r="E47" s="666" t="s">
        <v>75</v>
      </c>
      <c r="F47" s="662" t="s">
        <v>73</v>
      </c>
      <c r="G47" s="175"/>
      <c r="H47" s="175"/>
      <c r="I47" s="175"/>
      <c r="J47" s="175"/>
      <c r="K47" s="175"/>
      <c r="L47" s="175"/>
      <c r="M47" s="175"/>
      <c r="N47" s="175"/>
      <c r="O47" s="175"/>
      <c r="P47" s="175"/>
      <c r="Q47" s="175"/>
      <c r="R47" s="175"/>
      <c r="S47" s="175"/>
      <c r="T47" s="175"/>
      <c r="U47" s="175"/>
      <c r="V47" s="175"/>
      <c r="W47" s="175"/>
      <c r="X47" s="175"/>
      <c r="Y47" s="175"/>
      <c r="Z47" s="175"/>
      <c r="AA47" s="175"/>
      <c r="AB47" s="663"/>
      <c r="AC47" s="175"/>
      <c r="AD47" s="175"/>
      <c r="AE47" s="175"/>
      <c r="AF47" s="175"/>
      <c r="AG47" s="175"/>
      <c r="AH47" s="175"/>
      <c r="AI47" s="175"/>
      <c r="AJ47" s="175"/>
      <c r="AK47" s="175"/>
      <c r="AL47" s="175"/>
      <c r="AM47" s="175"/>
      <c r="AN47" s="175"/>
      <c r="AO47" s="175"/>
      <c r="AP47" s="175"/>
      <c r="AQ47" s="367"/>
      <c r="AR47" s="722"/>
      <c r="AS47" s="175"/>
      <c r="AT47" s="324"/>
      <c r="AU47" s="27"/>
      <c r="AV47" s="27"/>
      <c r="AW47" s="29"/>
      <c r="RA47"/>
    </row>
    <row r="48" spans="1:469" ht="17.899999999999999" customHeight="1">
      <c r="A48" s="1194"/>
      <c r="B48" s="1195"/>
      <c r="C48" s="1196"/>
      <c r="D48" s="658"/>
      <c r="E48" s="666" t="s">
        <v>76</v>
      </c>
      <c r="F48" s="662" t="s">
        <v>73</v>
      </c>
      <c r="G48" s="175"/>
      <c r="H48" s="175"/>
      <c r="I48" s="175"/>
      <c r="J48" s="175"/>
      <c r="K48" s="175"/>
      <c r="L48" s="175"/>
      <c r="M48" s="175"/>
      <c r="N48" s="175"/>
      <c r="O48" s="175"/>
      <c r="P48" s="175"/>
      <c r="Q48" s="175"/>
      <c r="R48" s="175"/>
      <c r="S48" s="175"/>
      <c r="T48" s="175"/>
      <c r="U48" s="175"/>
      <c r="V48" s="175"/>
      <c r="W48" s="175"/>
      <c r="X48" s="175"/>
      <c r="Y48" s="175"/>
      <c r="Z48" s="175"/>
      <c r="AA48" s="175"/>
      <c r="AB48" s="663"/>
      <c r="AC48" s="175"/>
      <c r="AD48" s="175"/>
      <c r="AE48" s="175"/>
      <c r="AF48" s="175"/>
      <c r="AG48" s="175"/>
      <c r="AH48" s="175"/>
      <c r="AI48" s="175"/>
      <c r="AJ48" s="175"/>
      <c r="AK48" s="175"/>
      <c r="AL48" s="175"/>
      <c r="AM48" s="175"/>
      <c r="AN48" s="175"/>
      <c r="AO48" s="175"/>
      <c r="AP48" s="175"/>
      <c r="AQ48" s="367"/>
      <c r="AR48" s="722"/>
      <c r="AS48" s="175"/>
      <c r="AT48" s="324"/>
      <c r="AU48" s="27"/>
      <c r="AV48" s="27"/>
      <c r="AW48" s="29"/>
      <c r="RA48"/>
    </row>
    <row r="49" spans="1:469" ht="15" thickBot="1">
      <c r="A49" s="1197"/>
      <c r="B49" s="1198"/>
      <c r="C49" s="1199"/>
      <c r="D49" s="658"/>
      <c r="E49" s="667" t="s">
        <v>77</v>
      </c>
      <c r="F49" s="880" t="s">
        <v>73</v>
      </c>
      <c r="G49" s="366"/>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367"/>
      <c r="AR49" s="725"/>
      <c r="AS49" s="557"/>
      <c r="AT49" s="449"/>
      <c r="AU49" s="27"/>
      <c r="AV49" s="27"/>
      <c r="AW49" s="29"/>
      <c r="RA49"/>
    </row>
    <row r="50" spans="1:469" ht="33.65" hidden="1" customHeight="1">
      <c r="A50" s="414"/>
      <c r="B50" s="27"/>
      <c r="C50" s="27"/>
      <c r="D50" s="29"/>
      <c r="E50" s="29"/>
      <c r="F50" s="468"/>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row>
    <row r="51" spans="1:469" hidden="1">
      <c r="A51" s="414"/>
      <c r="B51" s="27"/>
      <c r="C51" s="27"/>
      <c r="D51" s="881"/>
      <c r="E51" s="881"/>
      <c r="F51" s="881"/>
      <c r="G51" s="881"/>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row>
    <row r="52" spans="1:469" ht="15" hidden="1" thickBot="1">
      <c r="A52" s="414"/>
      <c r="B52" s="27"/>
      <c r="C52" s="27"/>
      <c r="D52" s="882" t="s">
        <v>78</v>
      </c>
      <c r="E52" s="883" t="s">
        <v>79</v>
      </c>
      <c r="F52" s="884" t="s">
        <v>80</v>
      </c>
      <c r="G52" s="883" t="s">
        <v>81</v>
      </c>
      <c r="H52" s="892" t="s">
        <v>82</v>
      </c>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row>
    <row r="53" spans="1:469" ht="20.9" hidden="1" customHeight="1">
      <c r="A53" s="414"/>
      <c r="B53" s="27"/>
      <c r="C53" s="27"/>
      <c r="D53" s="881"/>
      <c r="E53" s="881"/>
      <c r="F53" s="885"/>
      <c r="G53" s="879"/>
      <c r="H53" s="658"/>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row>
    <row r="54" spans="1:469" ht="20.9" hidden="1" customHeight="1">
      <c r="A54" s="414"/>
      <c r="B54" s="27"/>
      <c r="C54" s="27"/>
      <c r="D54" s="882"/>
      <c r="E54" s="886"/>
      <c r="F54" s="887"/>
      <c r="G54" s="886"/>
      <c r="H54" s="658"/>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row>
    <row r="55" spans="1:469" ht="20.9" hidden="1" customHeight="1">
      <c r="A55" s="414"/>
      <c r="B55" s="27"/>
      <c r="C55" s="27"/>
      <c r="D55" s="881"/>
      <c r="E55" s="881"/>
      <c r="F55" s="885"/>
      <c r="G55" s="879"/>
      <c r="H55" s="658"/>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row>
    <row r="56" spans="1:469" ht="20.9" customHeight="1" thickBot="1">
      <c r="A56" s="414"/>
      <c r="B56" s="27"/>
      <c r="C56" s="27"/>
      <c r="D56" s="738"/>
      <c r="E56" s="738"/>
      <c r="F56" s="888"/>
      <c r="G56" s="889"/>
      <c r="H56" s="658"/>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row>
    <row r="57" spans="1:469" ht="20.9" customHeight="1" thickBot="1">
      <c r="A57" s="1191" t="s">
        <v>83</v>
      </c>
      <c r="B57" s="1192"/>
      <c r="C57" s="1193"/>
      <c r="D57" s="1015" t="s">
        <v>84</v>
      </c>
      <c r="E57" s="337"/>
      <c r="F57" s="337"/>
      <c r="G57" s="1142"/>
      <c r="H57" s="658"/>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row>
    <row r="58" spans="1:469" ht="20.9" customHeight="1" thickBot="1">
      <c r="A58" s="1194"/>
      <c r="B58" s="1195"/>
      <c r="C58" s="1196"/>
      <c r="D58" s="336"/>
      <c r="E58" s="336" t="s">
        <v>85</v>
      </c>
      <c r="F58" s="691" t="s">
        <v>86</v>
      </c>
      <c r="G58" s="687" t="s">
        <v>87</v>
      </c>
      <c r="H58" s="894" t="s">
        <v>88</v>
      </c>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row>
    <row r="59" spans="1:469" ht="20.9" customHeight="1">
      <c r="A59" s="1194"/>
      <c r="B59" s="1195"/>
      <c r="C59" s="1196"/>
      <c r="D59" s="708"/>
      <c r="E59" s="685"/>
      <c r="F59" s="856"/>
      <c r="G59" s="685"/>
      <c r="H59" s="673"/>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row>
    <row r="60" spans="1:469" ht="20.9" customHeight="1">
      <c r="A60" s="1194"/>
      <c r="B60" s="1195"/>
      <c r="C60" s="1196"/>
      <c r="D60" s="709"/>
      <c r="E60" s="673"/>
      <c r="F60" s="764"/>
      <c r="G60" s="673"/>
      <c r="H60" s="673"/>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row>
    <row r="61" spans="1:469" ht="20.9" customHeight="1">
      <c r="A61" s="1194"/>
      <c r="B61" s="1195"/>
      <c r="C61" s="1196"/>
      <c r="D61" s="709"/>
      <c r="E61" s="673"/>
      <c r="F61" s="764"/>
      <c r="G61" s="673"/>
      <c r="H61" s="673"/>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row>
    <row r="62" spans="1:469" ht="20.9" customHeight="1">
      <c r="A62" s="1194"/>
      <c r="B62" s="1195"/>
      <c r="C62" s="1196"/>
      <c r="D62" s="709"/>
      <c r="E62" s="673"/>
      <c r="F62" s="764"/>
      <c r="G62" s="673"/>
      <c r="H62" s="673"/>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row>
    <row r="63" spans="1:469" ht="20.9" customHeight="1">
      <c r="A63" s="1194"/>
      <c r="B63" s="1195"/>
      <c r="C63" s="1196"/>
      <c r="D63" s="709"/>
      <c r="E63" s="673"/>
      <c r="F63" s="764"/>
      <c r="G63" s="673"/>
      <c r="H63" s="673"/>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row>
    <row r="64" spans="1:469" ht="20.9" customHeight="1">
      <c r="A64" s="1194"/>
      <c r="B64" s="1195"/>
      <c r="C64" s="1196"/>
      <c r="D64" s="709"/>
      <c r="E64" s="673"/>
      <c r="F64" s="764"/>
      <c r="G64" s="673"/>
      <c r="H64" s="673"/>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row>
    <row r="65" spans="1:49" ht="20.9" customHeight="1">
      <c r="A65" s="1194"/>
      <c r="B65" s="1195"/>
      <c r="C65" s="1196"/>
      <c r="D65" s="709"/>
      <c r="E65" s="673"/>
      <c r="F65" s="764"/>
      <c r="G65" s="673"/>
      <c r="H65" s="673"/>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row>
    <row r="66" spans="1:49" ht="20.9" customHeight="1">
      <c r="A66" s="1194"/>
      <c r="B66" s="1195"/>
      <c r="C66" s="1196"/>
      <c r="D66" s="709"/>
      <c r="E66" s="673"/>
      <c r="F66" s="764"/>
      <c r="G66" s="673"/>
      <c r="H66" s="673"/>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row>
    <row r="67" spans="1:49" ht="20.9" customHeight="1">
      <c r="A67" s="1194"/>
      <c r="B67" s="1195"/>
      <c r="C67" s="1196"/>
      <c r="D67" s="709"/>
      <c r="E67" s="673"/>
      <c r="F67" s="764"/>
      <c r="G67" s="673"/>
      <c r="H67" s="673"/>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row>
    <row r="68" spans="1:49" ht="20.9" customHeight="1">
      <c r="A68" s="1194"/>
      <c r="B68" s="1195"/>
      <c r="C68" s="1196"/>
      <c r="D68" s="709"/>
      <c r="E68" s="673"/>
      <c r="F68" s="764"/>
      <c r="G68" s="673"/>
      <c r="H68" s="673"/>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row>
    <row r="69" spans="1:49" ht="20.9" customHeight="1">
      <c r="A69" s="1194"/>
      <c r="B69" s="1195"/>
      <c r="C69" s="1196"/>
      <c r="D69" s="709"/>
      <c r="E69" s="673"/>
      <c r="F69" s="764"/>
      <c r="G69" s="673"/>
      <c r="H69" s="673"/>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row>
    <row r="70" spans="1:49" ht="20.9" customHeight="1">
      <c r="A70" s="1194"/>
      <c r="B70" s="1195"/>
      <c r="C70" s="1196"/>
      <c r="D70" s="709"/>
      <c r="E70" s="673"/>
      <c r="F70" s="764"/>
      <c r="G70" s="673"/>
      <c r="H70" s="673"/>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row>
    <row r="71" spans="1:49" ht="20.9" customHeight="1" thickBot="1">
      <c r="A71" s="1194"/>
      <c r="B71" s="1195"/>
      <c r="C71" s="1196"/>
      <c r="D71" s="710"/>
      <c r="E71" s="684"/>
      <c r="F71" s="765"/>
      <c r="G71" s="684"/>
      <c r="H71" s="673"/>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row>
    <row r="72" spans="1:49" ht="20.9" customHeight="1" thickBot="1">
      <c r="A72" s="1191" t="s">
        <v>90</v>
      </c>
      <c r="B72" s="1192"/>
      <c r="C72" s="1193"/>
      <c r="D72" s="686"/>
      <c r="E72" s="336" t="s">
        <v>91</v>
      </c>
      <c r="F72" s="852" t="s">
        <v>86</v>
      </c>
      <c r="G72" s="893" t="s">
        <v>92</v>
      </c>
      <c r="H72" s="895" t="s">
        <v>88</v>
      </c>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row>
    <row r="73" spans="1:49" ht="20.9" customHeight="1">
      <c r="A73" s="1194"/>
      <c r="B73" s="1195"/>
      <c r="C73" s="1196"/>
      <c r="D73" s="708"/>
      <c r="E73" s="685"/>
      <c r="F73" s="856"/>
      <c r="G73" s="685"/>
      <c r="H73" s="673"/>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row>
    <row r="74" spans="1:49" ht="20.9" customHeight="1">
      <c r="A74" s="1194"/>
      <c r="B74" s="1195"/>
      <c r="C74" s="1196"/>
      <c r="D74" s="709"/>
      <c r="E74" s="673"/>
      <c r="F74" s="764"/>
      <c r="G74" s="673"/>
      <c r="H74" s="673"/>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row>
    <row r="75" spans="1:49" ht="20.9" customHeight="1">
      <c r="A75" s="1194"/>
      <c r="B75" s="1195"/>
      <c r="C75" s="1196"/>
      <c r="D75" s="709"/>
      <c r="E75" s="673"/>
      <c r="F75" s="764"/>
      <c r="G75" s="673"/>
      <c r="H75" s="673"/>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row>
    <row r="76" spans="1:49" ht="20.9" customHeight="1" thickBot="1">
      <c r="A76" s="1194"/>
      <c r="B76" s="1195"/>
      <c r="C76" s="1196"/>
      <c r="D76" s="710"/>
      <c r="E76" s="684"/>
      <c r="F76" s="765"/>
      <c r="G76" s="684"/>
      <c r="H76" s="673"/>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row>
    <row r="77" spans="1:49" ht="20.9" customHeight="1" thickBot="1">
      <c r="A77" s="1191" t="s">
        <v>94</v>
      </c>
      <c r="B77" s="1192"/>
      <c r="C77" s="1193"/>
      <c r="D77" s="711"/>
      <c r="E77" s="689" t="s">
        <v>95</v>
      </c>
      <c r="F77" s="862" t="s">
        <v>86</v>
      </c>
      <c r="G77" s="690" t="s">
        <v>96</v>
      </c>
      <c r="H77" s="895" t="s">
        <v>88</v>
      </c>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row>
    <row r="78" spans="1:49" ht="20.9" customHeight="1">
      <c r="A78" s="1194"/>
      <c r="B78" s="1195"/>
      <c r="C78" s="1196"/>
      <c r="D78" s="708"/>
      <c r="E78" s="685"/>
      <c r="F78" s="856"/>
      <c r="G78" s="688"/>
      <c r="H78" s="673"/>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row>
    <row r="79" spans="1:49" ht="20.9" customHeight="1">
      <c r="A79" s="1194"/>
      <c r="B79" s="1195"/>
      <c r="C79" s="1196"/>
      <c r="D79" s="709"/>
      <c r="E79" s="673"/>
      <c r="F79" s="764"/>
      <c r="G79" s="674"/>
      <c r="H79" s="673"/>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row>
    <row r="80" spans="1:49" ht="20.9" customHeight="1" thickBot="1">
      <c r="A80" s="1197"/>
      <c r="B80" s="1198"/>
      <c r="C80" s="1199"/>
      <c r="D80" s="710"/>
      <c r="E80" s="684"/>
      <c r="F80" s="765"/>
      <c r="G80" s="684"/>
      <c r="H80" s="673"/>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row>
    <row r="81" spans="1:49" ht="20.9" customHeight="1" thickBot="1">
      <c r="A81" s="414"/>
      <c r="B81" s="27"/>
      <c r="C81" s="27"/>
      <c r="D81" s="686"/>
      <c r="E81" s="336" t="s">
        <v>98</v>
      </c>
      <c r="F81" s="337" t="s">
        <v>86</v>
      </c>
      <c r="G81" s="687" t="s">
        <v>99</v>
      </c>
      <c r="H81" s="895" t="s">
        <v>88</v>
      </c>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row>
    <row r="82" spans="1:49" ht="20.9" customHeight="1">
      <c r="A82" s="1191" t="s">
        <v>100</v>
      </c>
      <c r="B82" s="1192"/>
      <c r="C82" s="1193"/>
      <c r="D82" s="708"/>
      <c r="E82" s="685"/>
      <c r="F82" s="856"/>
      <c r="G82" s="685"/>
      <c r="H82" s="673"/>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row>
    <row r="83" spans="1:49" ht="20.9" customHeight="1">
      <c r="A83" s="1194"/>
      <c r="B83" s="1195"/>
      <c r="C83" s="1196"/>
      <c r="D83" s="709"/>
      <c r="E83" s="673"/>
      <c r="F83" s="764"/>
      <c r="G83" s="673"/>
      <c r="H83" s="673"/>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row>
    <row r="84" spans="1:49" ht="20.9" customHeight="1" thickBot="1">
      <c r="A84" s="1197"/>
      <c r="B84" s="1198"/>
      <c r="C84" s="1199"/>
      <c r="D84" s="710"/>
      <c r="E84" s="684"/>
      <c r="F84" s="765"/>
      <c r="G84" s="684"/>
      <c r="H84" s="673"/>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row>
    <row r="85" spans="1:49" ht="20.9" customHeight="1" thickBot="1">
      <c r="A85" s="1192" t="s">
        <v>102</v>
      </c>
      <c r="B85" s="1192"/>
      <c r="C85" s="1193"/>
      <c r="D85" s="863"/>
      <c r="E85" s="864" t="s">
        <v>103</v>
      </c>
      <c r="F85" s="865" t="s">
        <v>104</v>
      </c>
      <c r="G85" s="866" t="s">
        <v>105</v>
      </c>
      <c r="H85" s="895" t="s">
        <v>88</v>
      </c>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row>
    <row r="86" spans="1:49" ht="20.9" customHeight="1">
      <c r="A86" s="1195"/>
      <c r="B86" s="1195"/>
      <c r="C86" s="1196"/>
      <c r="D86" s="849"/>
      <c r="E86" s="847"/>
      <c r="F86" s="851"/>
      <c r="G86" s="847"/>
      <c r="H86" s="673"/>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row>
    <row r="87" spans="1:49" ht="20.9" customHeight="1">
      <c r="A87" s="1195"/>
      <c r="B87" s="1195"/>
      <c r="C87" s="1196"/>
      <c r="D87" s="710"/>
      <c r="E87" s="684"/>
      <c r="F87" s="765"/>
      <c r="G87" s="684"/>
      <c r="H87" s="673"/>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row>
    <row r="88" spans="1:49" ht="20.9" customHeight="1">
      <c r="A88" s="1195"/>
      <c r="B88" s="1195"/>
      <c r="C88" s="1196"/>
      <c r="D88" s="710"/>
      <c r="E88" s="684"/>
      <c r="F88" s="765"/>
      <c r="G88" s="684"/>
      <c r="H88" s="673"/>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row>
    <row r="89" spans="1:49" ht="20.9" customHeight="1" thickBot="1">
      <c r="A89" s="1198"/>
      <c r="B89" s="1198"/>
      <c r="C89" s="1199"/>
      <c r="D89" s="710"/>
      <c r="E89" s="684"/>
      <c r="F89" s="765"/>
      <c r="G89" s="684"/>
      <c r="H89" s="673"/>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row>
    <row r="90" spans="1:49" ht="20.9" customHeight="1" thickBot="1">
      <c r="A90" s="728"/>
      <c r="B90" s="729"/>
      <c r="C90" s="730"/>
      <c r="D90" s="678" t="s">
        <v>106</v>
      </c>
      <c r="E90" s="336" t="s">
        <v>107</v>
      </c>
      <c r="F90" s="337" t="s">
        <v>19</v>
      </c>
      <c r="G90" s="855" t="s">
        <v>108</v>
      </c>
      <c r="H90" s="658"/>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row>
    <row r="91" spans="1:49" ht="20.9" customHeight="1">
      <c r="A91" s="1191" t="s">
        <v>109</v>
      </c>
      <c r="B91" s="1192"/>
      <c r="C91" s="1193"/>
      <c r="D91" s="708"/>
      <c r="E91" s="685"/>
      <c r="F91" s="682" t="s">
        <v>110</v>
      </c>
      <c r="G91" s="685"/>
      <c r="H91" s="658"/>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row>
    <row r="92" spans="1:49" ht="20.9" customHeight="1">
      <c r="A92" s="1194"/>
      <c r="B92" s="1195"/>
      <c r="C92" s="1196"/>
      <c r="D92" s="709"/>
      <c r="E92" s="685"/>
      <c r="F92" s="682" t="s">
        <v>110</v>
      </c>
      <c r="G92" s="673"/>
      <c r="H92" s="658"/>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row>
    <row r="93" spans="1:49" ht="20.9" customHeight="1">
      <c r="A93" s="1194"/>
      <c r="B93" s="1195"/>
      <c r="C93" s="1196"/>
      <c r="D93" s="709"/>
      <c r="E93" s="685"/>
      <c r="F93" s="682" t="s">
        <v>110</v>
      </c>
      <c r="G93" s="673"/>
      <c r="H93" s="658"/>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row>
    <row r="94" spans="1:49" ht="20.9" customHeight="1">
      <c r="A94" s="1194"/>
      <c r="B94" s="1195"/>
      <c r="C94" s="1196"/>
      <c r="D94" s="709"/>
      <c r="E94" s="685"/>
      <c r="F94" s="682" t="s">
        <v>110</v>
      </c>
      <c r="G94" s="673"/>
      <c r="H94" s="658"/>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row>
    <row r="95" spans="1:49" ht="20.9" customHeight="1">
      <c r="A95" s="1194"/>
      <c r="B95" s="1195"/>
      <c r="C95" s="1196"/>
      <c r="D95" s="709"/>
      <c r="E95" s="685"/>
      <c r="F95" s="682" t="s">
        <v>110</v>
      </c>
      <c r="G95" s="673"/>
      <c r="H95" s="658"/>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row>
    <row r="96" spans="1:49" ht="20.9" customHeight="1">
      <c r="A96" s="1194"/>
      <c r="B96" s="1195"/>
      <c r="C96" s="1196"/>
      <c r="D96" s="709"/>
      <c r="E96" s="685"/>
      <c r="F96" s="682" t="s">
        <v>110</v>
      </c>
      <c r="G96" s="673"/>
      <c r="H96" s="658"/>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row>
    <row r="97" spans="1:49" ht="20.9" customHeight="1">
      <c r="A97" s="1194"/>
      <c r="B97" s="1195"/>
      <c r="C97" s="1196"/>
      <c r="D97" s="709"/>
      <c r="E97" s="685"/>
      <c r="F97" s="682" t="s">
        <v>110</v>
      </c>
      <c r="G97" s="673"/>
      <c r="H97" s="658"/>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row>
    <row r="98" spans="1:49" ht="20.9" customHeight="1">
      <c r="A98" s="1194"/>
      <c r="B98" s="1195"/>
      <c r="C98" s="1196"/>
      <c r="D98" s="710"/>
      <c r="E98" s="685"/>
      <c r="F98" s="682" t="s">
        <v>110</v>
      </c>
      <c r="G98" s="684"/>
      <c r="H98" s="658"/>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row>
    <row r="99" spans="1:49" ht="20.9" customHeight="1">
      <c r="A99" s="1194"/>
      <c r="B99" s="1195"/>
      <c r="C99" s="1196"/>
      <c r="D99" s="710"/>
      <c r="E99" s="685"/>
      <c r="F99" s="682" t="s">
        <v>110</v>
      </c>
      <c r="G99" s="684"/>
      <c r="H99" s="658"/>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row>
    <row r="100" spans="1:49" ht="20.9" customHeight="1" thickBot="1">
      <c r="A100" s="1197"/>
      <c r="B100" s="1198"/>
      <c r="C100" s="1199"/>
      <c r="D100" s="710"/>
      <c r="E100" s="847"/>
      <c r="F100" s="848" t="s">
        <v>110</v>
      </c>
      <c r="G100" s="684"/>
      <c r="H100" s="658"/>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row>
    <row r="101" spans="1:49" ht="20.9" customHeight="1" thickBot="1">
      <c r="A101" s="1192" t="s">
        <v>119</v>
      </c>
      <c r="B101" s="1192"/>
      <c r="C101" s="1192"/>
      <c r="D101" s="852" t="s">
        <v>112</v>
      </c>
      <c r="E101" s="853" t="s">
        <v>113</v>
      </c>
      <c r="F101" s="850" t="s">
        <v>108</v>
      </c>
      <c r="G101" s="866" t="s">
        <v>105</v>
      </c>
      <c r="H101" s="894" t="s">
        <v>88</v>
      </c>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row>
    <row r="102" spans="1:49" ht="20.9" customHeight="1">
      <c r="A102" s="1195"/>
      <c r="B102" s="1195"/>
      <c r="C102" s="1195"/>
      <c r="D102" s="849"/>
      <c r="E102" s="685"/>
      <c r="F102" s="851"/>
      <c r="G102" s="847"/>
      <c r="H102" s="673"/>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row>
    <row r="103" spans="1:49" ht="20.9" customHeight="1">
      <c r="A103" s="1195"/>
      <c r="B103" s="1195"/>
      <c r="C103" s="1195"/>
      <c r="D103" s="710"/>
      <c r="E103" s="685"/>
      <c r="F103" s="765"/>
      <c r="G103" s="684"/>
      <c r="H103" s="673"/>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row>
    <row r="104" spans="1:49" ht="20.9" customHeight="1" thickBot="1">
      <c r="A104" s="1198"/>
      <c r="B104" s="1198"/>
      <c r="C104" s="1198"/>
      <c r="D104" s="710"/>
      <c r="E104" s="685"/>
      <c r="F104" s="765"/>
      <c r="G104" s="684"/>
      <c r="H104" s="673"/>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row>
    <row r="105" spans="1:49" ht="20.9" customHeight="1" thickBot="1">
      <c r="A105" s="1191" t="s">
        <v>114</v>
      </c>
      <c r="B105" s="1192"/>
      <c r="C105" s="1193"/>
      <c r="D105" s="1015" t="s">
        <v>115</v>
      </c>
      <c r="E105" s="336" t="s">
        <v>116</v>
      </c>
      <c r="F105" s="337" t="s">
        <v>19</v>
      </c>
      <c r="G105" s="855" t="s">
        <v>108</v>
      </c>
      <c r="H105" s="658"/>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row>
    <row r="106" spans="1:49" ht="20.9" customHeight="1">
      <c r="A106" s="1194"/>
      <c r="B106" s="1195"/>
      <c r="C106" s="1196"/>
      <c r="D106" s="708"/>
      <c r="E106" s="685"/>
      <c r="F106" s="682" t="s">
        <v>110</v>
      </c>
      <c r="G106" s="685"/>
      <c r="H106" s="658"/>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row>
    <row r="107" spans="1:49" ht="20.9" customHeight="1">
      <c r="A107" s="1194"/>
      <c r="B107" s="1195"/>
      <c r="C107" s="1196"/>
      <c r="D107" s="709"/>
      <c r="E107" s="685"/>
      <c r="F107" s="682" t="s">
        <v>110</v>
      </c>
      <c r="G107" s="673"/>
      <c r="H107" s="658"/>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row>
    <row r="108" spans="1:49" ht="20.9" customHeight="1">
      <c r="A108" s="1194"/>
      <c r="B108" s="1195"/>
      <c r="C108" s="1196"/>
      <c r="D108" s="709"/>
      <c r="E108" s="685"/>
      <c r="F108" s="682" t="s">
        <v>110</v>
      </c>
      <c r="G108" s="673"/>
      <c r="H108" s="658"/>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row>
    <row r="109" spans="1:49" ht="20.9" customHeight="1">
      <c r="A109" s="1194"/>
      <c r="B109" s="1195"/>
      <c r="C109" s="1196"/>
      <c r="D109" s="709"/>
      <c r="E109" s="685"/>
      <c r="F109" s="682" t="s">
        <v>110</v>
      </c>
      <c r="G109" s="673"/>
      <c r="H109" s="658"/>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row>
    <row r="110" spans="1:49" ht="20.9" customHeight="1">
      <c r="A110" s="1194"/>
      <c r="B110" s="1195"/>
      <c r="C110" s="1196"/>
      <c r="D110" s="709"/>
      <c r="E110" s="685"/>
      <c r="F110" s="682" t="s">
        <v>110</v>
      </c>
      <c r="G110" s="673"/>
      <c r="H110" s="658"/>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row>
    <row r="111" spans="1:49" ht="20.9" customHeight="1" thickBot="1">
      <c r="A111" s="1197"/>
      <c r="B111" s="1198"/>
      <c r="C111" s="1199"/>
      <c r="D111" s="710"/>
      <c r="E111" s="685"/>
      <c r="F111" s="682" t="s">
        <v>110</v>
      </c>
      <c r="G111" s="684"/>
      <c r="H111" s="658"/>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row>
    <row r="112" spans="1:49" ht="20.9" customHeight="1" thickBot="1">
      <c r="A112" s="1233" t="s">
        <v>119</v>
      </c>
      <c r="B112" s="1234"/>
      <c r="C112" s="1235"/>
      <c r="D112" s="852" t="s">
        <v>120</v>
      </c>
      <c r="E112" s="853" t="s">
        <v>113</v>
      </c>
      <c r="F112" s="850" t="s">
        <v>108</v>
      </c>
      <c r="G112" s="1014" t="s">
        <v>105</v>
      </c>
      <c r="H112" s="894" t="s">
        <v>88</v>
      </c>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row>
    <row r="113" spans="1:49" ht="20.9" customHeight="1">
      <c r="A113" s="1236"/>
      <c r="B113" s="1237"/>
      <c r="C113" s="1238"/>
      <c r="D113" s="708"/>
      <c r="E113" s="685"/>
      <c r="F113" s="856"/>
      <c r="G113" s="685"/>
      <c r="H113" s="673"/>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row>
    <row r="114" spans="1:49" ht="20.9" customHeight="1">
      <c r="A114" s="1236"/>
      <c r="B114" s="1237"/>
      <c r="C114" s="1238"/>
      <c r="D114" s="709"/>
      <c r="E114" s="673"/>
      <c r="F114" s="764"/>
      <c r="G114" s="673"/>
      <c r="H114" s="673"/>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row>
    <row r="115" spans="1:49" ht="20.9" customHeight="1" thickBot="1">
      <c r="A115" s="1239"/>
      <c r="B115" s="1240"/>
      <c r="C115" s="1241"/>
      <c r="D115" s="710"/>
      <c r="E115" s="684"/>
      <c r="F115" s="765"/>
      <c r="G115" s="684"/>
      <c r="H115" s="673"/>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row>
    <row r="116" spans="1:49" ht="20.9" customHeight="1" thickBot="1">
      <c r="A116" s="1192" t="s">
        <v>121</v>
      </c>
      <c r="B116" s="1192"/>
      <c r="C116" s="1192"/>
      <c r="D116" s="683" t="s">
        <v>122</v>
      </c>
      <c r="E116" s="337" t="s">
        <v>123</v>
      </c>
      <c r="F116" s="337" t="s">
        <v>19</v>
      </c>
      <c r="G116" s="855" t="s">
        <v>108</v>
      </c>
      <c r="H116" s="658"/>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row>
    <row r="117" spans="1:49" ht="20.9" customHeight="1">
      <c r="A117" s="1195"/>
      <c r="B117" s="1195"/>
      <c r="C117" s="1195"/>
      <c r="D117" s="708"/>
      <c r="E117" s="685"/>
      <c r="F117" s="682" t="s">
        <v>110</v>
      </c>
      <c r="G117" s="911"/>
      <c r="H117" s="658"/>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row>
    <row r="118" spans="1:49" ht="20.9" customHeight="1">
      <c r="A118" s="1195"/>
      <c r="B118" s="1195"/>
      <c r="C118" s="1195"/>
      <c r="D118" s="709"/>
      <c r="E118" s="685"/>
      <c r="F118" s="682" t="s">
        <v>110</v>
      </c>
      <c r="G118" s="673"/>
      <c r="H118" s="658"/>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row>
    <row r="119" spans="1:49" ht="20.9" customHeight="1">
      <c r="A119" s="1195"/>
      <c r="B119" s="1195"/>
      <c r="C119" s="1195"/>
      <c r="D119" s="709"/>
      <c r="E119" s="685"/>
      <c r="F119" s="682" t="s">
        <v>110</v>
      </c>
      <c r="G119" s="673"/>
      <c r="H119" s="658"/>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row>
    <row r="120" spans="1:49" ht="20.9" customHeight="1">
      <c r="A120" s="1195"/>
      <c r="B120" s="1195"/>
      <c r="C120" s="1195"/>
      <c r="D120" s="709"/>
      <c r="E120" s="685"/>
      <c r="F120" s="682" t="s">
        <v>110</v>
      </c>
      <c r="G120" s="673"/>
      <c r="H120" s="658"/>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row>
    <row r="121" spans="1:49" ht="20.9" customHeight="1">
      <c r="A121" s="1195"/>
      <c r="B121" s="1195"/>
      <c r="C121" s="1195"/>
      <c r="D121" s="709"/>
      <c r="E121" s="685"/>
      <c r="F121" s="682" t="s">
        <v>110</v>
      </c>
      <c r="G121" s="673"/>
      <c r="H121" s="658"/>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row>
    <row r="122" spans="1:49" ht="20.9" customHeight="1">
      <c r="A122" s="1195"/>
      <c r="B122" s="1195"/>
      <c r="C122" s="1195"/>
      <c r="D122" s="709"/>
      <c r="E122" s="685"/>
      <c r="F122" s="682" t="s">
        <v>110</v>
      </c>
      <c r="G122" s="673"/>
      <c r="H122" s="658"/>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row>
    <row r="123" spans="1:49" ht="20.9" customHeight="1">
      <c r="A123" s="1195"/>
      <c r="B123" s="1195"/>
      <c r="C123" s="1195"/>
      <c r="D123" s="709"/>
      <c r="E123" s="685"/>
      <c r="F123" s="682" t="s">
        <v>110</v>
      </c>
      <c r="G123" s="673"/>
      <c r="H123" s="658"/>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row>
    <row r="124" spans="1:49" ht="20.9" customHeight="1">
      <c r="A124" s="1195"/>
      <c r="B124" s="1195"/>
      <c r="C124" s="1195"/>
      <c r="D124" s="709"/>
      <c r="E124" s="685"/>
      <c r="F124" s="682" t="s">
        <v>110</v>
      </c>
      <c r="G124" s="673"/>
      <c r="H124" s="658"/>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row>
    <row r="125" spans="1:49" ht="20.9" customHeight="1">
      <c r="A125" s="1195"/>
      <c r="B125" s="1195"/>
      <c r="C125" s="1195"/>
      <c r="D125" s="709"/>
      <c r="E125" s="685"/>
      <c r="F125" s="682" t="s">
        <v>110</v>
      </c>
      <c r="G125" s="673"/>
      <c r="H125" s="658"/>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row>
    <row r="126" spans="1:49" ht="20.9" customHeight="1" thickBot="1">
      <c r="A126" s="1198"/>
      <c r="B126" s="1198"/>
      <c r="C126" s="1198"/>
      <c r="D126" s="709"/>
      <c r="E126" s="685"/>
      <c r="F126" s="682" t="s">
        <v>110</v>
      </c>
      <c r="G126" s="673"/>
      <c r="H126" s="202"/>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row>
    <row r="127" spans="1:49" ht="20.9" customHeight="1" thickBot="1">
      <c r="A127" s="1191" t="s">
        <v>119</v>
      </c>
      <c r="B127" s="1192"/>
      <c r="C127" s="1193"/>
      <c r="D127" s="852" t="s">
        <v>126</v>
      </c>
      <c r="E127" s="853" t="s">
        <v>113</v>
      </c>
      <c r="F127" s="850" t="s">
        <v>108</v>
      </c>
      <c r="G127" s="1014" t="s">
        <v>105</v>
      </c>
      <c r="H127" s="894" t="s">
        <v>88</v>
      </c>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row>
    <row r="128" spans="1:49" ht="20.9" customHeight="1">
      <c r="A128" s="1194"/>
      <c r="B128" s="1195"/>
      <c r="C128" s="1196"/>
      <c r="D128" s="709"/>
      <c r="E128" s="673"/>
      <c r="F128" s="764"/>
      <c r="G128" s="673"/>
      <c r="H128" s="673"/>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row>
    <row r="129" spans="1:49" ht="20.9" customHeight="1">
      <c r="A129" s="1194"/>
      <c r="B129" s="1195"/>
      <c r="C129" s="1196"/>
      <c r="D129" s="709"/>
      <c r="E129" s="673"/>
      <c r="F129" s="764"/>
      <c r="G129" s="673"/>
      <c r="H129" s="673"/>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row>
    <row r="130" spans="1:49" ht="20.9" customHeight="1" thickBot="1">
      <c r="A130" s="1197"/>
      <c r="B130" s="1198"/>
      <c r="C130" s="1199"/>
      <c r="D130" s="710"/>
      <c r="E130" s="684"/>
      <c r="F130" s="765"/>
      <c r="G130" s="684"/>
      <c r="H130" s="673"/>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row>
    <row r="131" spans="1:49" ht="20.9" customHeight="1" thickBot="1">
      <c r="A131" s="1191" t="s">
        <v>127</v>
      </c>
      <c r="B131" s="1192"/>
      <c r="C131" s="1192"/>
      <c r="D131" s="1016" t="s">
        <v>128</v>
      </c>
      <c r="E131" s="853" t="s">
        <v>129</v>
      </c>
      <c r="F131" s="853" t="s">
        <v>19</v>
      </c>
      <c r="G131" s="854" t="s">
        <v>20</v>
      </c>
      <c r="H131" s="658"/>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row>
    <row r="132" spans="1:49" ht="20.9" customHeight="1">
      <c r="A132" s="1194"/>
      <c r="B132" s="1195"/>
      <c r="C132" s="1195"/>
      <c r="D132" s="859"/>
      <c r="E132" s="685"/>
      <c r="F132" s="860" t="s">
        <v>110</v>
      </c>
      <c r="G132" s="685"/>
      <c r="H132" s="658"/>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row>
    <row r="133" spans="1:49" ht="20.9" customHeight="1">
      <c r="A133" s="1194"/>
      <c r="B133" s="1195"/>
      <c r="C133" s="1195"/>
      <c r="D133" s="857"/>
      <c r="E133" s="685"/>
      <c r="F133" s="860" t="s">
        <v>110</v>
      </c>
      <c r="G133" s="673"/>
      <c r="H133" s="658"/>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row>
    <row r="134" spans="1:49" ht="20.9" customHeight="1">
      <c r="A134" s="1194"/>
      <c r="B134" s="1195"/>
      <c r="C134" s="1195"/>
      <c r="D134" s="857"/>
      <c r="E134" s="685"/>
      <c r="F134" s="860" t="s">
        <v>110</v>
      </c>
      <c r="G134" s="673"/>
      <c r="H134" s="658"/>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row>
    <row r="135" spans="1:49" ht="20.9" customHeight="1">
      <c r="A135" s="1194"/>
      <c r="B135" s="1195"/>
      <c r="C135" s="1195"/>
      <c r="D135" s="857"/>
      <c r="E135" s="685"/>
      <c r="F135" s="860" t="s">
        <v>110</v>
      </c>
      <c r="G135" s="673"/>
      <c r="H135" s="658"/>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row>
    <row r="136" spans="1:49" ht="20.9" customHeight="1">
      <c r="A136" s="1194"/>
      <c r="B136" s="1195"/>
      <c r="C136" s="1195"/>
      <c r="D136" s="857"/>
      <c r="E136" s="685"/>
      <c r="F136" s="860" t="s">
        <v>110</v>
      </c>
      <c r="G136" s="673"/>
      <c r="H136" s="658"/>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row>
    <row r="137" spans="1:49" ht="20.9" customHeight="1">
      <c r="A137" s="1194"/>
      <c r="B137" s="1195"/>
      <c r="C137" s="1195"/>
      <c r="D137" s="857"/>
      <c r="E137" s="685"/>
      <c r="F137" s="860" t="s">
        <v>110</v>
      </c>
      <c r="G137" s="673"/>
      <c r="H137" s="658"/>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row>
    <row r="138" spans="1:49" ht="20.9" customHeight="1" thickBot="1">
      <c r="A138" s="1197"/>
      <c r="B138" s="1198"/>
      <c r="C138" s="1198"/>
      <c r="D138" s="858"/>
      <c r="E138" s="847"/>
      <c r="F138" s="1017" t="s">
        <v>110</v>
      </c>
      <c r="G138" s="684"/>
      <c r="H138" s="658"/>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row>
    <row r="139" spans="1:49" ht="20.9" customHeight="1" thickBot="1">
      <c r="A139" s="728"/>
      <c r="B139" s="729"/>
      <c r="C139" s="730"/>
      <c r="D139" s="1016" t="s">
        <v>131</v>
      </c>
      <c r="E139" s="1018" t="s">
        <v>132</v>
      </c>
      <c r="F139" s="850" t="s">
        <v>19</v>
      </c>
      <c r="G139" s="850" t="s">
        <v>108</v>
      </c>
      <c r="H139" s="1019" t="s">
        <v>88</v>
      </c>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row>
    <row r="140" spans="1:49" ht="20.9" customHeight="1">
      <c r="A140" s="1194" t="s">
        <v>133</v>
      </c>
      <c r="B140" s="1195"/>
      <c r="C140" s="1196"/>
      <c r="D140" s="708"/>
      <c r="E140" s="685"/>
      <c r="F140" s="682" t="s">
        <v>135</v>
      </c>
      <c r="G140" s="671"/>
      <c r="H140" s="685"/>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row>
    <row r="141" spans="1:49" ht="20.9" customHeight="1">
      <c r="A141" s="1194"/>
      <c r="B141" s="1195"/>
      <c r="C141" s="1196"/>
      <c r="D141" s="709"/>
      <c r="E141" s="673"/>
      <c r="F141" s="672" t="s">
        <v>135</v>
      </c>
      <c r="G141" s="896"/>
      <c r="H141" s="673"/>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row>
    <row r="142" spans="1:49" ht="20.9" customHeight="1">
      <c r="A142" s="1194"/>
      <c r="B142" s="1195"/>
      <c r="C142" s="1196"/>
      <c r="D142" s="709"/>
      <c r="E142" s="673"/>
      <c r="F142" s="672" t="s">
        <v>135</v>
      </c>
      <c r="G142" s="896"/>
      <c r="H142" s="673"/>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row>
    <row r="143" spans="1:49" ht="20.9" customHeight="1">
      <c r="A143" s="1194"/>
      <c r="B143" s="1195"/>
      <c r="C143" s="1196"/>
      <c r="D143" s="709"/>
      <c r="E143" s="673"/>
      <c r="F143" s="672" t="s">
        <v>135</v>
      </c>
      <c r="G143" s="896"/>
      <c r="H143" s="673"/>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row>
    <row r="144" spans="1:49" ht="20.9" customHeight="1">
      <c r="A144" s="1194"/>
      <c r="B144" s="1195"/>
      <c r="C144" s="1196"/>
      <c r="D144" s="709"/>
      <c r="E144" s="673"/>
      <c r="F144" s="672" t="s">
        <v>135</v>
      </c>
      <c r="G144" s="896"/>
      <c r="H144" s="673"/>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row>
    <row r="145" spans="1:49" ht="20.9" customHeight="1">
      <c r="A145" s="1194"/>
      <c r="B145" s="1195"/>
      <c r="C145" s="1196"/>
      <c r="D145" s="709"/>
      <c r="E145" s="673"/>
      <c r="F145" s="672" t="s">
        <v>135</v>
      </c>
      <c r="G145" s="896"/>
      <c r="H145" s="673"/>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row>
    <row r="146" spans="1:49" ht="20.9" customHeight="1">
      <c r="A146" s="1194"/>
      <c r="B146" s="1195"/>
      <c r="C146" s="1196"/>
      <c r="D146" s="709"/>
      <c r="E146" s="673"/>
      <c r="F146" s="672" t="s">
        <v>135</v>
      </c>
      <c r="G146" s="896"/>
      <c r="H146" s="673"/>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row>
    <row r="147" spans="1:49" ht="20.9" customHeight="1">
      <c r="A147" s="1194"/>
      <c r="B147" s="1195"/>
      <c r="C147" s="1196"/>
      <c r="D147" s="709"/>
      <c r="E147" s="673"/>
      <c r="F147" s="672" t="s">
        <v>135</v>
      </c>
      <c r="G147" s="896"/>
      <c r="H147" s="673"/>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row>
    <row r="148" spans="1:49" ht="20.9" customHeight="1">
      <c r="A148" s="1194"/>
      <c r="B148" s="1195"/>
      <c r="C148" s="1196"/>
      <c r="D148" s="709"/>
      <c r="E148" s="673"/>
      <c r="F148" s="672" t="s">
        <v>135</v>
      </c>
      <c r="G148" s="896"/>
      <c r="H148" s="673"/>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row>
    <row r="149" spans="1:49" ht="20.9" customHeight="1">
      <c r="A149" s="1194"/>
      <c r="B149" s="1195"/>
      <c r="C149" s="1196"/>
      <c r="D149" s="709"/>
      <c r="E149" s="673"/>
      <c r="F149" s="672" t="s">
        <v>135</v>
      </c>
      <c r="G149" s="896"/>
      <c r="H149" s="673"/>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row>
    <row r="150" spans="1:49" ht="20.9" customHeight="1">
      <c r="A150" s="1194"/>
      <c r="B150" s="1195"/>
      <c r="C150" s="1196"/>
      <c r="D150" s="709"/>
      <c r="E150" s="673"/>
      <c r="F150" s="672" t="s">
        <v>135</v>
      </c>
      <c r="G150" s="896"/>
      <c r="H150" s="673"/>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row>
    <row r="151" spans="1:49" ht="20.9" customHeight="1" thickBot="1">
      <c r="A151" s="1197"/>
      <c r="B151" s="1198"/>
      <c r="C151" s="1199"/>
      <c r="D151" s="709"/>
      <c r="E151" s="673"/>
      <c r="F151" s="672" t="s">
        <v>135</v>
      </c>
      <c r="G151" s="671"/>
      <c r="H151" s="673"/>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row>
    <row r="152" spans="1:49">
      <c r="A152" s="414"/>
      <c r="B152" s="27"/>
      <c r="C152" s="415"/>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row>
    <row r="153" spans="1:49" ht="15" thickBot="1">
      <c r="A153" s="414"/>
      <c r="B153" s="27"/>
      <c r="C153" s="415"/>
      <c r="D153" s="29"/>
      <c r="E153" s="29"/>
      <c r="F153" s="29"/>
      <c r="G153" s="29"/>
      <c r="H153" s="675"/>
      <c r="I153" s="675"/>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row>
    <row r="154" spans="1:49" ht="15" thickBot="1">
      <c r="A154" s="1191" t="s">
        <v>137</v>
      </c>
      <c r="B154" s="1192"/>
      <c r="C154" s="1193"/>
      <c r="D154" s="1205" t="s">
        <v>138</v>
      </c>
      <c r="E154" s="1206"/>
      <c r="F154" s="1207"/>
      <c r="G154" s="29"/>
      <c r="H154" s="675"/>
      <c r="I154" s="675"/>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row>
    <row r="155" spans="1:49" ht="15" thickBot="1">
      <c r="A155" s="1194"/>
      <c r="B155" s="1195"/>
      <c r="C155" s="1196"/>
      <c r="D155" s="706"/>
      <c r="E155" s="679" t="s">
        <v>139</v>
      </c>
      <c r="F155" s="680" t="s">
        <v>108</v>
      </c>
      <c r="G155" s="29"/>
      <c r="H155" s="675"/>
      <c r="I155" s="675"/>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row>
    <row r="156" spans="1:49">
      <c r="A156" s="1194"/>
      <c r="B156" s="1195"/>
      <c r="C156" s="1196"/>
      <c r="D156" s="712" t="s">
        <v>140</v>
      </c>
      <c r="E156" s="681"/>
      <c r="F156" s="570"/>
      <c r="G156" s="29"/>
      <c r="H156" s="675"/>
      <c r="I156" s="675"/>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row>
    <row r="157" spans="1:49">
      <c r="A157" s="1194"/>
      <c r="B157" s="1195"/>
      <c r="C157" s="1196"/>
      <c r="D157" s="713" t="s">
        <v>142</v>
      </c>
      <c r="E157" s="681"/>
      <c r="F157" s="324"/>
      <c r="G157" s="29"/>
      <c r="H157" s="675"/>
      <c r="I157" s="675"/>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row>
    <row r="158" spans="1:49">
      <c r="A158" s="1194"/>
      <c r="B158" s="1195"/>
      <c r="C158" s="1196"/>
      <c r="D158" s="713" t="s">
        <v>143</v>
      </c>
      <c r="E158" s="681"/>
      <c r="F158" s="324"/>
      <c r="G158" s="29"/>
      <c r="H158" s="675"/>
      <c r="I158" s="675"/>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row>
    <row r="159" spans="1:49" ht="15" thickBot="1">
      <c r="A159" s="1197"/>
      <c r="B159" s="1198"/>
      <c r="C159" s="1199"/>
      <c r="D159" s="714" t="s">
        <v>144</v>
      </c>
      <c r="E159" s="681"/>
      <c r="F159" s="449"/>
      <c r="G159" s="29"/>
      <c r="H159" s="675"/>
      <c r="I159" s="675"/>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row>
    <row r="160" spans="1:49">
      <c r="A160" s="414"/>
      <c r="B160" s="27"/>
      <c r="C160" s="415"/>
      <c r="D160" s="469"/>
      <c r="E160" s="871"/>
      <c r="F160" s="528"/>
      <c r="G160" s="29"/>
      <c r="H160" s="675"/>
      <c r="I160" s="675"/>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row>
    <row r="161" spans="1:49" ht="15" thickBot="1">
      <c r="A161" s="414"/>
      <c r="B161" s="27"/>
      <c r="C161" s="415"/>
      <c r="D161" s="29"/>
      <c r="E161" s="29"/>
      <c r="F161" s="29"/>
      <c r="G161" s="29"/>
      <c r="H161" s="675"/>
      <c r="I161" s="675"/>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row>
    <row r="162" spans="1:49" ht="20.9" customHeight="1" thickBot="1">
      <c r="A162" s="1191" t="s">
        <v>2519</v>
      </c>
      <c r="B162" s="1192"/>
      <c r="C162" s="1193"/>
      <c r="D162" s="1205" t="s">
        <v>145</v>
      </c>
      <c r="E162" s="1206"/>
      <c r="F162" s="1207"/>
      <c r="G162" s="29"/>
      <c r="H162" s="472"/>
      <c r="I162" s="472"/>
      <c r="J162" s="472"/>
      <c r="K162" s="472"/>
      <c r="L162" s="472"/>
      <c r="M162" s="472"/>
      <c r="N162" s="472"/>
      <c r="O162" s="472"/>
      <c r="P162" s="472"/>
      <c r="Q162" s="472"/>
      <c r="R162" s="472"/>
      <c r="S162" s="472"/>
      <c r="T162" s="472"/>
      <c r="U162" s="472"/>
      <c r="V162" s="472"/>
      <c r="W162" s="472"/>
      <c r="X162" s="472"/>
      <c r="Y162" s="472"/>
      <c r="Z162" s="472"/>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row>
    <row r="163" spans="1:49" ht="15" thickBot="1">
      <c r="A163" s="1194"/>
      <c r="B163" s="1195"/>
      <c r="C163" s="1196"/>
      <c r="D163" s="706"/>
      <c r="E163" s="679" t="s">
        <v>139</v>
      </c>
      <c r="F163" s="680" t="s">
        <v>108</v>
      </c>
      <c r="G163" s="472"/>
      <c r="H163" s="472"/>
      <c r="I163" s="472"/>
      <c r="J163" s="472"/>
      <c r="K163" s="472"/>
      <c r="L163" s="472"/>
      <c r="M163" s="472"/>
      <c r="N163" s="472"/>
      <c r="O163" s="472"/>
      <c r="P163" s="472"/>
      <c r="Q163" s="472"/>
      <c r="R163" s="472"/>
      <c r="S163" s="472"/>
      <c r="T163" s="472"/>
      <c r="U163" s="472"/>
      <c r="V163" s="472"/>
      <c r="W163" s="472"/>
      <c r="X163" s="472"/>
      <c r="Y163" s="472"/>
      <c r="Z163" s="472"/>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row>
    <row r="164" spans="1:49" ht="14.5" customHeight="1">
      <c r="A164" s="1194"/>
      <c r="B164" s="1195"/>
      <c r="C164" s="1196"/>
      <c r="D164" s="712" t="s">
        <v>146</v>
      </c>
      <c r="E164" s="681"/>
      <c r="F164" s="570"/>
      <c r="G164" s="472"/>
      <c r="H164" s="472"/>
      <c r="I164" s="472"/>
      <c r="J164" s="472"/>
      <c r="K164" s="472"/>
      <c r="L164" s="472"/>
      <c r="M164" s="472"/>
      <c r="N164" s="472"/>
      <c r="O164" s="472"/>
      <c r="P164" s="472"/>
      <c r="Q164" s="472"/>
      <c r="R164" s="472"/>
      <c r="S164" s="472"/>
      <c r="T164" s="472"/>
      <c r="U164" s="472"/>
      <c r="V164" s="472"/>
      <c r="W164" s="472"/>
      <c r="X164" s="472"/>
      <c r="Y164" s="472"/>
      <c r="Z164" s="472"/>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row>
    <row r="165" spans="1:49">
      <c r="A165" s="1194"/>
      <c r="B165" s="1195"/>
      <c r="C165" s="1196"/>
      <c r="D165" s="713" t="s">
        <v>148</v>
      </c>
      <c r="E165" s="676"/>
      <c r="F165" s="324"/>
      <c r="G165" s="472"/>
      <c r="H165" s="472"/>
      <c r="I165" s="472"/>
      <c r="J165" s="472"/>
      <c r="K165" s="472"/>
      <c r="L165" s="472"/>
      <c r="M165" s="472"/>
      <c r="N165" s="472"/>
      <c r="O165" s="472"/>
      <c r="P165" s="472"/>
      <c r="Q165" s="472"/>
      <c r="R165" s="472"/>
      <c r="S165" s="472"/>
      <c r="T165" s="472"/>
      <c r="U165" s="472"/>
      <c r="V165" s="472"/>
      <c r="W165" s="472"/>
      <c r="X165" s="472"/>
      <c r="Y165" s="472"/>
      <c r="Z165" s="472"/>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row>
    <row r="166" spans="1:49">
      <c r="A166" s="1194"/>
      <c r="B166" s="1195"/>
      <c r="C166" s="1196"/>
      <c r="D166" s="713" t="s">
        <v>150</v>
      </c>
      <c r="E166" s="676"/>
      <c r="F166" s="324"/>
      <c r="G166" s="472"/>
      <c r="H166" s="472"/>
      <c r="I166" s="472"/>
      <c r="J166" s="472"/>
      <c r="K166" s="472"/>
      <c r="L166" s="472"/>
      <c r="M166" s="472"/>
      <c r="N166" s="472"/>
      <c r="O166" s="472"/>
      <c r="P166" s="472"/>
      <c r="Q166" s="472"/>
      <c r="R166" s="472"/>
      <c r="S166" s="472"/>
      <c r="T166" s="472"/>
      <c r="U166" s="472"/>
      <c r="V166" s="472"/>
      <c r="W166" s="472"/>
      <c r="X166" s="472"/>
      <c r="Y166" s="472"/>
      <c r="Z166" s="472"/>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row>
    <row r="167" spans="1:49" ht="15" thickBot="1">
      <c r="A167" s="1197"/>
      <c r="B167" s="1198"/>
      <c r="C167" s="1199"/>
      <c r="D167" s="714" t="s">
        <v>151</v>
      </c>
      <c r="E167" s="677"/>
      <c r="F167" s="449"/>
      <c r="G167" s="472"/>
      <c r="H167" s="472"/>
      <c r="I167" s="472"/>
      <c r="J167" s="472"/>
      <c r="K167" s="472"/>
      <c r="L167" s="472"/>
      <c r="M167" s="472"/>
      <c r="N167" s="472"/>
      <c r="O167" s="472"/>
      <c r="P167" s="472"/>
      <c r="Q167" s="472"/>
      <c r="R167" s="472"/>
      <c r="S167" s="472"/>
      <c r="T167" s="472"/>
      <c r="U167" s="472"/>
      <c r="V167" s="472"/>
      <c r="W167" s="472"/>
      <c r="X167" s="472"/>
      <c r="Y167" s="472"/>
      <c r="Z167" s="472"/>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row>
    <row r="168" spans="1:49" ht="15" thickBot="1">
      <c r="A168" s="414"/>
      <c r="B168" s="27"/>
      <c r="C168" s="415"/>
      <c r="D168" s="29"/>
      <c r="E168" s="29"/>
      <c r="F168" s="29"/>
      <c r="G168" s="29"/>
      <c r="H168" s="472"/>
      <c r="I168" s="472"/>
      <c r="J168" s="472"/>
      <c r="K168" s="472"/>
      <c r="L168" s="472"/>
      <c r="M168" s="472"/>
      <c r="N168" s="472"/>
      <c r="O168" s="472"/>
      <c r="P168" s="472"/>
      <c r="Q168" s="472"/>
      <c r="R168" s="472"/>
      <c r="S168" s="472"/>
      <c r="T168" s="472"/>
      <c r="U168" s="472"/>
      <c r="V168" s="472"/>
      <c r="W168" s="472"/>
      <c r="X168" s="472"/>
      <c r="Y168" s="472"/>
      <c r="Z168" s="472"/>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row>
    <row r="169" spans="1:49" ht="15" thickBot="1">
      <c r="A169" s="1191" t="s">
        <v>152</v>
      </c>
      <c r="B169" s="1192"/>
      <c r="C169" s="1193"/>
      <c r="D169" s="1230" t="s">
        <v>153</v>
      </c>
      <c r="E169" s="1231"/>
      <c r="F169" s="1231"/>
      <c r="G169" s="1232"/>
      <c r="H169" s="472"/>
      <c r="I169" s="472"/>
      <c r="J169" s="472"/>
      <c r="K169" s="472"/>
      <c r="L169" s="472"/>
      <c r="M169" s="472"/>
      <c r="N169" s="472"/>
      <c r="O169" s="472"/>
      <c r="P169" s="472"/>
      <c r="Q169" s="472"/>
      <c r="R169" s="472"/>
      <c r="S169" s="472"/>
      <c r="T169" s="472"/>
      <c r="U169" s="472"/>
      <c r="V169" s="472"/>
      <c r="W169" s="472"/>
      <c r="X169" s="472"/>
      <c r="Y169" s="472"/>
      <c r="Z169" s="472"/>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row>
    <row r="170" spans="1:49">
      <c r="A170" s="1194"/>
      <c r="B170" s="1195"/>
      <c r="C170" s="1196"/>
      <c r="D170" s="1020" t="s">
        <v>154</v>
      </c>
      <c r="E170" s="733" t="s">
        <v>155</v>
      </c>
      <c r="F170" s="733" t="s">
        <v>156</v>
      </c>
      <c r="G170" s="964" t="s">
        <v>157</v>
      </c>
      <c r="H170" s="472"/>
      <c r="I170" s="472"/>
      <c r="J170" s="472"/>
      <c r="K170" s="472"/>
      <c r="L170" s="472"/>
      <c r="M170" s="472"/>
      <c r="N170" s="472"/>
      <c r="O170" s="472"/>
      <c r="P170" s="472"/>
      <c r="Q170" s="472"/>
      <c r="R170" s="472"/>
      <c r="S170" s="472"/>
      <c r="T170" s="472"/>
      <c r="U170" s="472"/>
      <c r="V170" s="472"/>
      <c r="W170" s="472"/>
      <c r="X170" s="472"/>
      <c r="Y170" s="472"/>
      <c r="Z170" s="472"/>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row>
    <row r="171" spans="1:49">
      <c r="A171" s="1194"/>
      <c r="B171" s="1195"/>
      <c r="C171" s="1196"/>
      <c r="D171" s="757"/>
      <c r="E171" s="175"/>
      <c r="F171" s="676"/>
      <c r="G171" s="175"/>
      <c r="H171" s="472"/>
      <c r="I171" s="472"/>
      <c r="J171" s="472"/>
      <c r="K171" s="472"/>
      <c r="L171" s="472"/>
      <c r="M171" s="472"/>
      <c r="N171" s="472"/>
      <c r="O171" s="472"/>
      <c r="P171" s="472"/>
      <c r="Q171" s="472"/>
      <c r="R171" s="472"/>
      <c r="S171" s="472"/>
      <c r="T171" s="472"/>
      <c r="U171" s="472"/>
      <c r="V171" s="472"/>
      <c r="W171" s="472"/>
      <c r="X171" s="472"/>
      <c r="Y171" s="472"/>
      <c r="Z171" s="472"/>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row>
    <row r="172" spans="1:49">
      <c r="A172" s="1194"/>
      <c r="B172" s="1195"/>
      <c r="C172" s="1196"/>
      <c r="D172" s="663"/>
      <c r="E172" s="175"/>
      <c r="F172" s="676"/>
      <c r="G172" s="175"/>
      <c r="H172" s="472"/>
      <c r="I172" s="472"/>
      <c r="J172" s="472"/>
      <c r="K172" s="472"/>
      <c r="L172" s="472"/>
      <c r="M172" s="472"/>
      <c r="N172" s="472"/>
      <c r="O172" s="472"/>
      <c r="P172" s="472"/>
      <c r="Q172" s="472"/>
      <c r="R172" s="472"/>
      <c r="S172" s="472"/>
      <c r="T172" s="472"/>
      <c r="U172" s="472"/>
      <c r="V172" s="472"/>
      <c r="W172" s="472"/>
      <c r="X172" s="472"/>
      <c r="Y172" s="472"/>
      <c r="Z172" s="472"/>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row>
    <row r="173" spans="1:49">
      <c r="A173" s="1194"/>
      <c r="B173" s="1195"/>
      <c r="C173" s="1196"/>
      <c r="D173" s="663"/>
      <c r="E173" s="175"/>
      <c r="F173" s="676"/>
      <c r="G173" s="175"/>
      <c r="H173" s="472"/>
      <c r="I173" s="472"/>
      <c r="J173" s="472"/>
      <c r="K173" s="472"/>
      <c r="L173" s="472"/>
      <c r="M173" s="472"/>
      <c r="N173" s="472"/>
      <c r="O173" s="472"/>
      <c r="P173" s="472"/>
      <c r="Q173" s="472"/>
      <c r="R173" s="472"/>
      <c r="S173" s="472"/>
      <c r="T173" s="472"/>
      <c r="U173" s="472"/>
      <c r="V173" s="472"/>
      <c r="W173" s="472"/>
      <c r="X173" s="472"/>
      <c r="Y173" s="472"/>
      <c r="Z173" s="472"/>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row>
    <row r="174" spans="1:49">
      <c r="A174" s="1194"/>
      <c r="B174" s="1195"/>
      <c r="C174" s="1196"/>
      <c r="D174" s="663"/>
      <c r="E174" s="175"/>
      <c r="F174" s="676"/>
      <c r="G174" s="175"/>
      <c r="H174" s="472"/>
      <c r="I174" s="472"/>
      <c r="J174" s="472"/>
      <c r="K174" s="472"/>
      <c r="L174" s="472"/>
      <c r="M174" s="472"/>
      <c r="N174" s="472"/>
      <c r="O174" s="472"/>
      <c r="P174" s="472"/>
      <c r="Q174" s="472"/>
      <c r="R174" s="472"/>
      <c r="S174" s="472"/>
      <c r="T174" s="472"/>
      <c r="U174" s="472"/>
      <c r="V174" s="472"/>
      <c r="W174" s="472"/>
      <c r="X174" s="472"/>
      <c r="Y174" s="472"/>
      <c r="Z174" s="472"/>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row>
    <row r="175" spans="1:49">
      <c r="A175" s="1194"/>
      <c r="B175" s="1195"/>
      <c r="C175" s="1196"/>
      <c r="D175" s="663"/>
      <c r="E175" s="175"/>
      <c r="F175" s="676"/>
      <c r="G175" s="175"/>
      <c r="H175" s="472"/>
      <c r="I175" s="472"/>
      <c r="J175" s="472"/>
      <c r="K175" s="472"/>
      <c r="L175" s="472"/>
      <c r="M175" s="472"/>
      <c r="N175" s="472"/>
      <c r="O175" s="472"/>
      <c r="P175" s="472"/>
      <c r="Q175" s="472"/>
      <c r="R175" s="472"/>
      <c r="S175" s="472"/>
      <c r="T175" s="472"/>
      <c r="U175" s="472"/>
      <c r="V175" s="472"/>
      <c r="W175" s="472"/>
      <c r="X175" s="472"/>
      <c r="Y175" s="472"/>
      <c r="Z175" s="472"/>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row>
    <row r="176" spans="1:49">
      <c r="A176" s="1194"/>
      <c r="B176" s="1195"/>
      <c r="C176" s="1196"/>
      <c r="D176" s="663"/>
      <c r="E176" s="175"/>
      <c r="F176" s="676"/>
      <c r="G176" s="175"/>
      <c r="H176" s="472"/>
      <c r="I176" s="472"/>
      <c r="J176" s="472"/>
      <c r="K176" s="472"/>
      <c r="L176" s="472"/>
      <c r="M176" s="472"/>
      <c r="N176" s="472"/>
      <c r="O176" s="472"/>
      <c r="P176" s="472"/>
      <c r="Q176" s="472"/>
      <c r="R176" s="472"/>
      <c r="S176" s="472"/>
      <c r="T176" s="472"/>
      <c r="U176" s="472"/>
      <c r="V176" s="472"/>
      <c r="W176" s="472"/>
      <c r="X176" s="472"/>
      <c r="Y176" s="472"/>
      <c r="Z176" s="472"/>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row>
    <row r="177" spans="1:49">
      <c r="A177" s="1194"/>
      <c r="B177" s="1195"/>
      <c r="C177" s="1196"/>
      <c r="D177" s="663"/>
      <c r="E177" s="175"/>
      <c r="F177" s="676"/>
      <c r="G177" s="175"/>
      <c r="H177" s="472"/>
      <c r="I177" s="472"/>
      <c r="J177" s="472"/>
      <c r="K177" s="472"/>
      <c r="L177" s="472"/>
      <c r="M177" s="472"/>
      <c r="N177" s="472"/>
      <c r="O177" s="472"/>
      <c r="P177" s="472"/>
      <c r="Q177" s="472"/>
      <c r="R177" s="472"/>
      <c r="S177" s="472"/>
      <c r="T177" s="472"/>
      <c r="U177" s="472"/>
      <c r="V177" s="472"/>
      <c r="W177" s="472"/>
      <c r="X177" s="472"/>
      <c r="Y177" s="472"/>
      <c r="Z177" s="472"/>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row>
    <row r="178" spans="1:49">
      <c r="A178" s="1194"/>
      <c r="B178" s="1195"/>
      <c r="C178" s="1196"/>
      <c r="D178" s="663"/>
      <c r="E178" s="175"/>
      <c r="F178" s="676"/>
      <c r="G178" s="175"/>
      <c r="H178" s="472"/>
      <c r="I178" s="472"/>
      <c r="J178" s="472"/>
      <c r="K178" s="472"/>
      <c r="L178" s="472"/>
      <c r="M178" s="472"/>
      <c r="N178" s="472"/>
      <c r="O178" s="472"/>
      <c r="P178" s="472"/>
      <c r="Q178" s="472"/>
      <c r="R178" s="472"/>
      <c r="S178" s="472"/>
      <c r="T178" s="472"/>
      <c r="U178" s="472"/>
      <c r="V178" s="472"/>
      <c r="W178" s="472"/>
      <c r="X178" s="472"/>
      <c r="Y178" s="472"/>
      <c r="Z178" s="472"/>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row>
    <row r="179" spans="1:49">
      <c r="A179" s="1194"/>
      <c r="B179" s="1195"/>
      <c r="C179" s="1196"/>
      <c r="D179" s="663"/>
      <c r="E179" s="175"/>
      <c r="F179" s="676"/>
      <c r="G179" s="175"/>
      <c r="H179" s="472"/>
      <c r="I179" s="472"/>
      <c r="J179" s="472"/>
      <c r="K179" s="472"/>
      <c r="L179" s="472"/>
      <c r="M179" s="472"/>
      <c r="N179" s="472"/>
      <c r="O179" s="472"/>
      <c r="P179" s="472"/>
      <c r="Q179" s="472"/>
      <c r="R179" s="472"/>
      <c r="S179" s="472"/>
      <c r="T179" s="472"/>
      <c r="U179" s="472"/>
      <c r="V179" s="472"/>
      <c r="W179" s="472"/>
      <c r="X179" s="472"/>
      <c r="Y179" s="472"/>
      <c r="Z179" s="472"/>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row>
    <row r="180" spans="1:49" ht="15" thickBot="1">
      <c r="A180" s="1197"/>
      <c r="B180" s="1198"/>
      <c r="C180" s="1199"/>
      <c r="D180" s="663"/>
      <c r="E180" s="175"/>
      <c r="F180" s="676"/>
      <c r="G180" s="175"/>
      <c r="H180" s="472"/>
      <c r="I180" s="472"/>
      <c r="J180" s="472"/>
      <c r="K180" s="472"/>
      <c r="L180" s="472"/>
      <c r="M180" s="472"/>
      <c r="N180" s="472"/>
      <c r="O180" s="472"/>
      <c r="P180" s="472"/>
      <c r="Q180" s="472"/>
      <c r="R180" s="472"/>
      <c r="S180" s="472"/>
      <c r="T180" s="472"/>
      <c r="U180" s="472"/>
      <c r="V180" s="472"/>
      <c r="W180" s="472"/>
      <c r="X180" s="472"/>
      <c r="Y180" s="472"/>
      <c r="Z180" s="472"/>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row>
    <row r="181" spans="1:49" ht="15" thickBot="1">
      <c r="A181" s="414"/>
      <c r="B181" s="27"/>
      <c r="C181" s="415"/>
      <c r="D181" s="471"/>
      <c r="E181" s="471"/>
      <c r="F181" s="469"/>
      <c r="G181" s="472"/>
      <c r="H181" s="472"/>
      <c r="I181" s="472"/>
      <c r="J181" s="472"/>
      <c r="K181" s="472"/>
      <c r="L181" s="472"/>
      <c r="M181" s="472"/>
      <c r="N181" s="472"/>
      <c r="O181" s="472"/>
      <c r="P181" s="472"/>
      <c r="Q181" s="472"/>
      <c r="R181" s="472"/>
      <c r="S181" s="472"/>
      <c r="T181" s="472"/>
      <c r="U181" s="472"/>
      <c r="V181" s="472"/>
      <c r="W181" s="472"/>
      <c r="X181" s="472"/>
      <c r="Y181" s="472"/>
      <c r="Z181" s="472"/>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row>
    <row r="182" spans="1:49" ht="20.9" customHeight="1" thickBot="1">
      <c r="A182" s="414"/>
      <c r="B182" s="27"/>
      <c r="C182" s="27"/>
      <c r="D182" s="1231" t="s">
        <v>161</v>
      </c>
      <c r="E182" s="1231"/>
      <c r="F182" s="1231"/>
      <c r="G182" s="1232"/>
      <c r="H182" s="472"/>
      <c r="I182" s="472"/>
      <c r="J182" s="472"/>
      <c r="K182" s="472"/>
      <c r="L182" s="472"/>
      <c r="M182" s="472"/>
      <c r="N182" s="472"/>
      <c r="O182" s="472"/>
      <c r="P182" s="472"/>
      <c r="Q182" s="472"/>
      <c r="R182" s="472"/>
      <c r="S182" s="472"/>
      <c r="T182" s="472"/>
      <c r="U182" s="472"/>
      <c r="V182" s="472"/>
      <c r="W182" s="472"/>
      <c r="X182" s="472"/>
      <c r="Y182" s="472"/>
      <c r="Z182" s="472"/>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row>
    <row r="183" spans="1:49" ht="15" thickBot="1">
      <c r="A183" s="414"/>
      <c r="B183" s="27"/>
      <c r="C183" s="27"/>
      <c r="D183" s="654"/>
      <c r="E183" s="679" t="s">
        <v>162</v>
      </c>
      <c r="F183" s="679" t="s">
        <v>19</v>
      </c>
      <c r="G183" s="680" t="s">
        <v>108</v>
      </c>
      <c r="H183" s="472"/>
      <c r="I183" s="472"/>
      <c r="J183" s="472"/>
      <c r="K183" s="472"/>
      <c r="L183" s="472"/>
      <c r="M183" s="472"/>
      <c r="N183" s="472"/>
      <c r="O183" s="472"/>
      <c r="P183" s="472"/>
      <c r="Q183" s="472"/>
      <c r="R183" s="472"/>
      <c r="S183" s="472"/>
      <c r="T183" s="472"/>
      <c r="U183" s="472"/>
      <c r="V183" s="472"/>
      <c r="W183" s="472"/>
      <c r="X183" s="472"/>
      <c r="Y183" s="472"/>
      <c r="Z183" s="472"/>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row>
    <row r="184" spans="1:49">
      <c r="A184" s="1191" t="s">
        <v>163</v>
      </c>
      <c r="B184" s="1192"/>
      <c r="C184" s="1193"/>
      <c r="D184" s="715"/>
      <c r="E184" s="556"/>
      <c r="F184" s="552" t="s">
        <v>165</v>
      </c>
      <c r="G184" s="453"/>
      <c r="H184" s="472"/>
      <c r="I184" s="472"/>
      <c r="J184" s="472"/>
      <c r="K184" s="472"/>
      <c r="L184" s="472"/>
      <c r="M184" s="472"/>
      <c r="N184" s="472"/>
      <c r="O184" s="472"/>
      <c r="P184" s="472"/>
      <c r="Q184" s="472"/>
      <c r="R184" s="472"/>
      <c r="S184" s="472"/>
      <c r="T184" s="472"/>
      <c r="U184" s="472"/>
      <c r="V184" s="472"/>
      <c r="W184" s="472"/>
      <c r="X184" s="472"/>
      <c r="Y184" s="472"/>
      <c r="Z184" s="472"/>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row>
    <row r="185" spans="1:49">
      <c r="A185" s="1194"/>
      <c r="B185" s="1195"/>
      <c r="C185" s="1196"/>
      <c r="D185" s="716"/>
      <c r="E185" s="175"/>
      <c r="F185" s="394" t="s">
        <v>165</v>
      </c>
      <c r="G185" s="324"/>
      <c r="H185" s="472"/>
      <c r="I185" s="472"/>
      <c r="J185" s="472"/>
      <c r="K185" s="472"/>
      <c r="L185" s="472"/>
      <c r="M185" s="472"/>
      <c r="N185" s="472"/>
      <c r="O185" s="472"/>
      <c r="P185" s="472"/>
      <c r="Q185" s="472"/>
      <c r="R185" s="472"/>
      <c r="S185" s="472"/>
      <c r="T185" s="472"/>
      <c r="U185" s="472"/>
      <c r="V185" s="472"/>
      <c r="W185" s="472"/>
      <c r="X185" s="472"/>
      <c r="Y185" s="472"/>
      <c r="Z185" s="472"/>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row>
    <row r="186" spans="1:49">
      <c r="A186" s="1194"/>
      <c r="B186" s="1195"/>
      <c r="C186" s="1196"/>
      <c r="D186" s="716"/>
      <c r="E186" s="175"/>
      <c r="F186" s="394" t="s">
        <v>165</v>
      </c>
      <c r="G186" s="324"/>
      <c r="H186" s="472"/>
      <c r="I186" s="472"/>
      <c r="J186" s="472"/>
      <c r="K186" s="472"/>
      <c r="L186" s="472"/>
      <c r="M186" s="472"/>
      <c r="N186" s="472"/>
      <c r="O186" s="472"/>
      <c r="P186" s="472"/>
      <c r="Q186" s="472"/>
      <c r="R186" s="472"/>
      <c r="S186" s="472"/>
      <c r="T186" s="472"/>
      <c r="U186" s="472"/>
      <c r="V186" s="472"/>
      <c r="W186" s="472"/>
      <c r="X186" s="472"/>
      <c r="Y186" s="472"/>
      <c r="Z186" s="472"/>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row>
    <row r="187" spans="1:49" ht="15" thickBot="1">
      <c r="A187" s="1197"/>
      <c r="B187" s="1198"/>
      <c r="C187" s="1199"/>
      <c r="D187" s="717"/>
      <c r="E187" s="557"/>
      <c r="F187" s="394" t="s">
        <v>165</v>
      </c>
      <c r="G187" s="449"/>
      <c r="H187" s="472"/>
      <c r="I187" s="472"/>
      <c r="J187" s="472"/>
      <c r="K187" s="472"/>
      <c r="L187" s="472"/>
      <c r="M187" s="472"/>
      <c r="N187" s="472"/>
      <c r="O187" s="472"/>
      <c r="P187" s="472"/>
      <c r="Q187" s="472"/>
      <c r="R187" s="472"/>
      <c r="S187" s="472"/>
      <c r="T187" s="472"/>
      <c r="U187" s="472"/>
      <c r="V187" s="472"/>
      <c r="W187" s="472"/>
      <c r="X187" s="472"/>
      <c r="Y187" s="472"/>
      <c r="Z187" s="472"/>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row>
    <row r="188" spans="1:49">
      <c r="A188" s="416"/>
      <c r="B188" s="417"/>
      <c r="C188" s="415"/>
      <c r="D188" s="470"/>
      <c r="E188" s="471"/>
      <c r="F188" s="469"/>
      <c r="G188" s="472"/>
      <c r="H188" s="472"/>
      <c r="I188" s="472"/>
      <c r="J188" s="472"/>
      <c r="K188" s="472"/>
      <c r="L188" s="472"/>
      <c r="M188" s="472"/>
      <c r="N188" s="472"/>
      <c r="O188" s="472"/>
      <c r="P188" s="472"/>
      <c r="Q188" s="472"/>
      <c r="R188" s="472"/>
      <c r="S188" s="472"/>
      <c r="T188" s="472"/>
      <c r="U188" s="472"/>
      <c r="V188" s="472"/>
      <c r="W188" s="472"/>
      <c r="X188" s="472"/>
      <c r="Y188" s="472"/>
      <c r="Z188" s="472"/>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row>
    <row r="189" spans="1:49" ht="17.149999999999999" customHeight="1" thickBot="1">
      <c r="A189" s="414"/>
      <c r="B189" s="27"/>
      <c r="C189" s="415"/>
      <c r="D189" s="467"/>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row>
    <row r="190" spans="1:49" ht="21.65" customHeight="1" thickBot="1">
      <c r="A190" s="414"/>
      <c r="B190" s="27"/>
      <c r="C190" s="415"/>
      <c r="D190" s="1242" t="s">
        <v>167</v>
      </c>
      <c r="E190" s="1243"/>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row>
    <row r="191" spans="1:49" ht="15" thickBot="1">
      <c r="A191" s="414"/>
      <c r="B191" s="27"/>
      <c r="C191" s="27"/>
      <c r="D191" s="678" t="s">
        <v>168</v>
      </c>
      <c r="E191" s="650" t="s">
        <v>169</v>
      </c>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row>
    <row r="192" spans="1:49">
      <c r="A192" s="1191" t="s">
        <v>170</v>
      </c>
      <c r="B192" s="1192"/>
      <c r="C192" s="1193"/>
      <c r="D192" s="164"/>
      <c r="E192" s="453"/>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row>
    <row r="193" spans="1:49">
      <c r="A193" s="1194"/>
      <c r="B193" s="1195"/>
      <c r="C193" s="1196"/>
      <c r="D193" s="164"/>
      <c r="E193" s="324"/>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row>
    <row r="194" spans="1:49">
      <c r="A194" s="1194"/>
      <c r="B194" s="1195"/>
      <c r="C194" s="1196"/>
      <c r="D194" s="164"/>
      <c r="E194" s="324"/>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row>
    <row r="195" spans="1:49">
      <c r="A195" s="1194"/>
      <c r="B195" s="1195"/>
      <c r="C195" s="1196"/>
      <c r="D195" s="164"/>
      <c r="E195" s="324"/>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row>
    <row r="196" spans="1:49">
      <c r="A196" s="1194"/>
      <c r="B196" s="1195"/>
      <c r="C196" s="1196"/>
      <c r="D196" s="164"/>
      <c r="E196" s="324"/>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row>
    <row r="197" spans="1:49">
      <c r="A197" s="1194"/>
      <c r="B197" s="1195"/>
      <c r="C197" s="1196"/>
      <c r="D197" s="164"/>
      <c r="E197" s="324"/>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row>
    <row r="198" spans="1:49">
      <c r="A198" s="1194"/>
      <c r="B198" s="1195"/>
      <c r="C198" s="1196"/>
      <c r="D198" s="164"/>
      <c r="E198" s="324"/>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row>
    <row r="199" spans="1:49">
      <c r="A199" s="1194"/>
      <c r="B199" s="1195"/>
      <c r="C199" s="1196"/>
      <c r="D199" s="164"/>
      <c r="E199" s="324"/>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row>
    <row r="200" spans="1:49">
      <c r="A200" s="1194"/>
      <c r="B200" s="1195"/>
      <c r="C200" s="1196"/>
      <c r="D200" s="164"/>
      <c r="E200" s="324"/>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row>
    <row r="201" spans="1:49" ht="15" thickBot="1">
      <c r="A201" s="1197"/>
      <c r="B201" s="1198"/>
      <c r="C201" s="1199"/>
      <c r="D201" s="164"/>
      <c r="E201" s="452"/>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row>
    <row r="202" spans="1:49" ht="15" thickBot="1">
      <c r="A202" s="414"/>
      <c r="B202" s="27"/>
      <c r="C202" s="415"/>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row>
    <row r="203" spans="1:49" ht="18" customHeight="1" thickBot="1">
      <c r="A203" s="414"/>
      <c r="B203" s="27"/>
      <c r="C203" s="415"/>
      <c r="D203" s="1244" t="s">
        <v>171</v>
      </c>
      <c r="E203" s="1245"/>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row>
    <row r="204" spans="1:49" ht="18" customHeight="1" thickBot="1">
      <c r="A204" s="414"/>
      <c r="B204" s="27"/>
      <c r="C204" s="27"/>
      <c r="D204" s="651" t="s">
        <v>172</v>
      </c>
      <c r="E204" s="652" t="s">
        <v>169</v>
      </c>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row>
    <row r="205" spans="1:49" ht="18" customHeight="1">
      <c r="A205" s="1191" t="s">
        <v>173</v>
      </c>
      <c r="B205" s="1192"/>
      <c r="C205" s="1193"/>
      <c r="D205" s="164"/>
      <c r="E205" s="453"/>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row>
    <row r="206" spans="1:49" ht="18" customHeight="1">
      <c r="A206" s="1194"/>
      <c r="B206" s="1195"/>
      <c r="C206" s="1196"/>
      <c r="D206" s="663"/>
      <c r="E206" s="324"/>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row>
    <row r="207" spans="1:49" ht="18" customHeight="1">
      <c r="A207" s="1194"/>
      <c r="B207" s="1195"/>
      <c r="C207" s="1196"/>
      <c r="D207" s="663"/>
      <c r="E207" s="324"/>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row>
    <row r="208" spans="1:49" ht="18" customHeight="1">
      <c r="A208" s="1194"/>
      <c r="B208" s="1195"/>
      <c r="C208" s="1196"/>
      <c r="D208" s="663"/>
      <c r="E208" s="324"/>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row>
    <row r="209" spans="1:49" ht="18" customHeight="1">
      <c r="A209" s="1194"/>
      <c r="B209" s="1195"/>
      <c r="C209" s="1196"/>
      <c r="D209" s="663"/>
      <c r="E209" s="324"/>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row>
    <row r="210" spans="1:49" ht="18" customHeight="1">
      <c r="A210" s="1194"/>
      <c r="B210" s="1195"/>
      <c r="C210" s="1196"/>
      <c r="D210" s="663"/>
      <c r="E210" s="324"/>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row>
    <row r="211" spans="1:49" ht="18" customHeight="1" thickBot="1">
      <c r="A211" s="1197"/>
      <c r="B211" s="1198"/>
      <c r="C211" s="1199"/>
      <c r="D211" s="750"/>
      <c r="E211" s="44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row>
    <row r="212" spans="1:49">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row>
    <row r="213" spans="1:49">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row>
    <row r="214" spans="1:49">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row>
    <row r="215" spans="1:49">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row>
    <row r="216" spans="1:49">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row>
    <row r="217" spans="1:49">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row>
    <row r="218" spans="1:49">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row>
    <row r="219" spans="1:49">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row>
    <row r="220" spans="1:49">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row>
    <row r="221" spans="1:49">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row>
    <row r="222" spans="1:49">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row>
    <row r="223" spans="1:49">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row>
    <row r="224" spans="1:49">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row>
    <row r="225" spans="1:49">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row>
    <row r="226" spans="1:49">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row>
    <row r="227" spans="1:49">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row>
    <row r="228" spans="1:49">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row>
    <row r="229" spans="1:49">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row>
    <row r="230" spans="1:49">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row>
    <row r="231" spans="1:49">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row>
    <row r="232" spans="1:49">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row>
    <row r="233" spans="1:49">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row>
    <row r="234" spans="1:49">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row>
    <row r="235" spans="1:49">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row>
    <row r="236" spans="1:49">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row>
    <row r="237" spans="1:49">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row>
    <row r="238" spans="1:49">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row>
    <row r="239" spans="1:49">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row>
    <row r="240" spans="1:49">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row>
    <row r="241" spans="1:49">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row>
    <row r="242" spans="1:49">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row>
    <row r="243" spans="1:49">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row>
    <row r="244" spans="1:49">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row>
    <row r="245" spans="1:49">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row>
    <row r="246" spans="1:49">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row>
    <row r="247" spans="1:49">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row>
    <row r="248" spans="1:49">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row>
    <row r="249" spans="1:49">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row>
    <row r="250" spans="1:49">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row>
    <row r="251" spans="1:49">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row>
    <row r="252" spans="1:49">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row>
    <row r="253" spans="1:49">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row>
    <row r="254" spans="1:49">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row>
    <row r="255" spans="1:49">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row>
    <row r="256" spans="1:49">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row>
    <row r="257" spans="1:49">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row>
    <row r="258" spans="1:49">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row>
    <row r="259" spans="1:49">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row>
    <row r="260" spans="1:49">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row>
    <row r="261" spans="1:49">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row>
    <row r="262" spans="1:49">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row>
    <row r="263" spans="1:49">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row>
    <row r="264" spans="1:49">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row>
    <row r="265" spans="1:49">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row>
    <row r="266" spans="1:49">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row>
    <row r="267" spans="1:49">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row>
    <row r="268" spans="1:49">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row>
    <row r="269" spans="1:49">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row>
    <row r="270" spans="1:49">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row>
    <row r="271" spans="1:49">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row>
    <row r="272" spans="1:49">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row>
    <row r="273" spans="1:49">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row>
    <row r="274" spans="1:49">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row>
    <row r="275" spans="1:49">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row>
    <row r="276" spans="1:49">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row>
    <row r="277" spans="1:49">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row>
    <row r="278" spans="1:49">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row>
    <row r="279" spans="1:49">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row>
    <row r="280" spans="1:49">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row>
    <row r="281" spans="1:49">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row>
    <row r="282" spans="1:49">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row>
    <row r="283" spans="1:49">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row>
    <row r="284" spans="1:49">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row>
    <row r="285" spans="1:49">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row>
    <row r="286" spans="1:49">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row>
    <row r="287" spans="1:49">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row>
    <row r="288" spans="1:49">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row>
    <row r="289" spans="1:49">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row>
    <row r="290" spans="1:49">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row>
    <row r="291" spans="1:49">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row>
    <row r="292" spans="1:49">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row>
    <row r="293" spans="1:49">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row>
    <row r="294" spans="1:49">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row>
    <row r="295" spans="1:49">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row>
    <row r="296" spans="1:49">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row>
    <row r="297" spans="1:49">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row>
    <row r="298" spans="1:49">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row>
    <row r="299" spans="1:49">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row>
    <row r="300" spans="1:49">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row>
    <row r="301" spans="1:49">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row>
    <row r="302" spans="1:49">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row>
    <row r="303" spans="1:49">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row>
    <row r="304" spans="1:49">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row>
    <row r="305" spans="1:49">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row>
    <row r="306" spans="1:49">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row>
    <row r="307" spans="1:49">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row>
    <row r="308" spans="1:49">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row>
    <row r="309" spans="1:49">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row>
    <row r="310" spans="1:49">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row>
    <row r="311" spans="1:49">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row>
    <row r="312" spans="1:49">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row>
    <row r="313" spans="1:49">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row>
    <row r="314" spans="1:49">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row>
    <row r="315" spans="1:49">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row>
    <row r="316" spans="1:49">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row>
    <row r="317" spans="1:49">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row>
    <row r="318" spans="1:49">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row>
    <row r="319" spans="1:49">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row>
    <row r="320" spans="1:49">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row>
    <row r="321" spans="1:49">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row>
    <row r="322" spans="1:49">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row>
    <row r="323" spans="1:49">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row>
    <row r="324" spans="1:49">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row>
    <row r="325" spans="1:49">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row>
    <row r="326" spans="1:49">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row>
    <row r="327" spans="1:49">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row>
    <row r="328" spans="1:49">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row>
    <row r="329" spans="1:49">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row>
    <row r="330" spans="1:49">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row>
    <row r="331" spans="1:49">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row>
    <row r="332" spans="1:49">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row>
    <row r="333" spans="1:49">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row>
    <row r="334" spans="1:49">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row>
    <row r="335" spans="1:49">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row>
    <row r="336" spans="1:49">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row>
    <row r="337" spans="1:49">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row>
    <row r="338" spans="1:49">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row>
    <row r="339" spans="1:49">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row>
    <row r="340" spans="1:49">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row>
    <row r="341" spans="1:49">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row>
    <row r="342" spans="1:49">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row>
    <row r="343" spans="1:49">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row>
    <row r="344" spans="1:49">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row>
    <row r="345" spans="1:49">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row>
    <row r="346" spans="1:49">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row>
    <row r="347" spans="1:49">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row>
    <row r="348" spans="1:49">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row>
    <row r="349" spans="1:49">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row>
    <row r="350" spans="1:49">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row>
    <row r="351" spans="1:49">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row>
    <row r="352" spans="1:49">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row>
    <row r="353" spans="1:49">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row>
    <row r="354" spans="1:49">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row>
    <row r="355" spans="1:49">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row>
    <row r="356" spans="1:49">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row>
    <row r="357" spans="1:49">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row>
    <row r="358" spans="1:49">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row>
    <row r="359" spans="1:49">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row>
    <row r="360" spans="1:49">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row>
    <row r="361" spans="1:49">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row>
    <row r="362" spans="1:49">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row>
    <row r="363" spans="1:49">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row>
    <row r="364" spans="1:49">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row>
    <row r="365" spans="1:49">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row>
    <row r="366" spans="1:49">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row>
    <row r="367" spans="1:49">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row>
    <row r="368" spans="1:49">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row>
    <row r="369" spans="1:49">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row>
    <row r="370" spans="1:49">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row>
    <row r="371" spans="1:49">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row>
    <row r="372" spans="1:49">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row>
    <row r="373" spans="1:49">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row>
    <row r="374" spans="1:49">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row>
    <row r="375" spans="1:49">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row>
    <row r="376" spans="1:49">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row>
    <row r="377" spans="1:49">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row>
    <row r="378" spans="1:49">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row>
    <row r="379" spans="1:49">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row>
    <row r="380" spans="1:49">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row>
    <row r="381" spans="1:49">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row>
    <row r="382" spans="1:49">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row>
    <row r="383" spans="1:49">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row>
    <row r="384" spans="1:49">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row>
    <row r="385" spans="1:49">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row>
    <row r="386" spans="1:49">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row>
    <row r="387" spans="1:49">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row>
    <row r="388" spans="1:49">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row>
    <row r="389" spans="1:49">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row>
    <row r="390" spans="1:49">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row>
    <row r="391" spans="1:49">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row>
    <row r="392" spans="1:49">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row>
    <row r="393" spans="1:49">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row>
    <row r="394" spans="1:49">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row>
    <row r="395" spans="1:49">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row>
    <row r="396" spans="1:49">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row>
    <row r="397" spans="1:49">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row>
    <row r="398" spans="1:49">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row>
    <row r="399" spans="1:49">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row>
    <row r="400" spans="1:49">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row>
    <row r="401" spans="1:49">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row>
    <row r="402" spans="1:49">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row>
    <row r="403" spans="1:49">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row>
    <row r="404" spans="1:49">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row>
    <row r="405" spans="1:49">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row>
    <row r="406" spans="1:49">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row>
    <row r="407" spans="1:49">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row>
    <row r="408" spans="1:49">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row>
    <row r="409" spans="1:49">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row>
    <row r="410" spans="1:49">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row>
    <row r="411" spans="1:49">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row>
    <row r="412" spans="1:49">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row>
    <row r="413" spans="1:49">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row>
    <row r="414" spans="1:49">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row>
    <row r="415" spans="1:49">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row>
    <row r="416" spans="1:49">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row>
    <row r="417" spans="1:49">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row>
    <row r="418" spans="1:49">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row>
    <row r="419" spans="1:49">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row>
    <row r="420" spans="1:49">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row>
    <row r="421" spans="1:49">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row>
    <row r="422" spans="1:49">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row>
    <row r="423" spans="1:49">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row>
    <row r="424" spans="1:49">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row>
    <row r="425" spans="1:49">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row>
    <row r="426" spans="1:49">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row>
    <row r="427" spans="1:49">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row>
    <row r="428" spans="1:49">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row>
    <row r="429" spans="1:49">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row>
    <row r="430" spans="1:49">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row>
    <row r="431" spans="1:49">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row>
    <row r="432" spans="1:49">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row>
    <row r="433" spans="1:49">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row>
    <row r="434" spans="1:49">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row>
    <row r="435" spans="1:49">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row>
    <row r="436" spans="1:49">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row>
    <row r="437" spans="1:49">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row>
    <row r="438" spans="1:49">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row>
    <row r="439" spans="1:49">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row>
    <row r="440" spans="1:49">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row>
    <row r="441" spans="1:49">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row>
    <row r="442" spans="1:49">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row>
    <row r="443" spans="1:49">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row>
    <row r="444" spans="1:49">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row>
    <row r="445" spans="1:49">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row>
    <row r="446" spans="1:49">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row>
    <row r="447" spans="1:49">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row>
    <row r="448" spans="1:49">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row>
    <row r="449" spans="1:49">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row>
    <row r="450" spans="1:49">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row>
    <row r="451" spans="1:49">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row>
    <row r="452" spans="1:4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row>
    <row r="453" spans="1:4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row>
    <row r="454" spans="1:4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row>
    <row r="455" spans="1:4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row>
    <row r="456" spans="1:4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row>
    <row r="457" spans="1:4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row>
    <row r="458" spans="1:4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row>
    <row r="459" spans="1:4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row>
    <row r="460" spans="1:4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row>
    <row r="461" spans="1:4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row>
    <row r="462" spans="1:4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row>
    <row r="463" spans="1:4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row>
    <row r="464" spans="1:4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row>
    <row r="465" spans="7:4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row>
    <row r="466" spans="7:4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row>
    <row r="467" spans="7:4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row>
    <row r="468" spans="7:4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row>
  </sheetData>
  <sheetProtection insertColumns="0" insertRows="0" selectLockedCells="1" selectUnlockedCells="1"/>
  <mergeCells count="44">
    <mergeCell ref="D190:E190"/>
    <mergeCell ref="D203:E203"/>
    <mergeCell ref="A184:C187"/>
    <mergeCell ref="A192:C201"/>
    <mergeCell ref="D182:G182"/>
    <mergeCell ref="D169:G169"/>
    <mergeCell ref="A82:C84"/>
    <mergeCell ref="A85:C89"/>
    <mergeCell ref="A91:C100"/>
    <mergeCell ref="A101:C104"/>
    <mergeCell ref="A105:C111"/>
    <mergeCell ref="A112:C115"/>
    <mergeCell ref="A116:C126"/>
    <mergeCell ref="A169:C180"/>
    <mergeCell ref="A162:C167"/>
    <mergeCell ref="A205:C211"/>
    <mergeCell ref="A140:C151"/>
    <mergeCell ref="A2:C2"/>
    <mergeCell ref="A57:C71"/>
    <mergeCell ref="A18:C19"/>
    <mergeCell ref="A4:C11"/>
    <mergeCell ref="A13:C15"/>
    <mergeCell ref="A21:C21"/>
    <mergeCell ref="A23:C23"/>
    <mergeCell ref="A24:C24"/>
    <mergeCell ref="A26:C26"/>
    <mergeCell ref="A27:C27"/>
    <mergeCell ref="A20:C20"/>
    <mergeCell ref="A30:C32"/>
    <mergeCell ref="A33:C35"/>
    <mergeCell ref="A28:C29"/>
    <mergeCell ref="AR18:AT18"/>
    <mergeCell ref="D2:G2"/>
    <mergeCell ref="D162:F162"/>
    <mergeCell ref="G18:Z18"/>
    <mergeCell ref="AA18:AQ18"/>
    <mergeCell ref="D154:F154"/>
    <mergeCell ref="A37:C42"/>
    <mergeCell ref="A43:C49"/>
    <mergeCell ref="A127:C130"/>
    <mergeCell ref="A131:C138"/>
    <mergeCell ref="A154:C159"/>
    <mergeCell ref="A72:C76"/>
    <mergeCell ref="A77:C80"/>
  </mergeCells>
  <phoneticPr fontId="107" type="noConversion"/>
  <dataValidations count="2">
    <dataValidation type="list" allowBlank="1" showInputMessage="1" showErrorMessage="1" sqref="G24:AT24" xr:uid="{8D936543-8101-422E-8318-13E7D7C87E16}">
      <formula1>"jah, ei"</formula1>
    </dataValidation>
    <dataValidation type="list" allowBlank="1" showInputMessage="1" showErrorMessage="1" sqref="D171:D180" xr:uid="{2A04DF22-AD1B-4158-8E5F-5A82F0B83605}">
      <formula1>$G$19:$AQ$19</formula1>
    </dataValidation>
  </dataValidations>
  <pageMargins left="0.7" right="0.7" top="0.75" bottom="0.75" header="0.3" footer="0.3"/>
  <tableParts count="6">
    <tablePart r:id="rId1"/>
    <tablePart r:id="rId2"/>
    <tablePart r:id="rId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expression" priority="126" id="{1DD94A5F-24F8-45B8-92B9-61984221830E}">
            <xm:f>OR(G19='M1 - TK'!$A$87:$A$106)</xm:f>
            <x14:dxf>
              <fill>
                <patternFill>
                  <bgColor theme="1" tint="0.499984740745262"/>
                </patternFill>
              </fill>
            </x14:dxf>
          </x14:cfRule>
          <xm:sqref>G26:AQ26</xm:sqref>
        </x14:conditionalFormatting>
        <x14:conditionalFormatting xmlns:xm="http://schemas.microsoft.com/office/excel/2006/main">
          <x14:cfRule type="expression" priority="1" id="{FC0B391D-B328-4864-996E-E23A27C40A37}">
            <xm:f>OR(G19='M1 - TK'!$A$87:$A$106)</xm:f>
            <x14:dxf>
              <fill>
                <patternFill>
                  <bgColor theme="1" tint="0.499984740745262"/>
                </patternFill>
              </fill>
            </x14:dxf>
          </x14:cfRule>
          <xm:sqref>G27:AQ27</xm:sqref>
        </x14:conditionalFormatting>
      </x14:conditionalFormattings>
    </ext>
    <ext xmlns:x14="http://schemas.microsoft.com/office/spreadsheetml/2009/9/main" uri="{CCE6A557-97BC-4b89-ADB6-D9C93CAAB3DF}">
      <x14:dataValidations xmlns:xm="http://schemas.microsoft.com/office/excel/2006/main" count="25">
        <x14:dataValidation type="list" allowBlank="1" showInputMessage="1" showErrorMessage="1" xr:uid="{5016E7BA-F667-4772-BD73-A4DB1F36F4D8}">
          <x14:formula1>
            <xm:f>'EFid TK'!$A$41:$A$90</xm:f>
          </x14:formula1>
          <xm:sqref>E59:E71</xm:sqref>
        </x14:dataValidation>
        <x14:dataValidation type="list" allowBlank="1" showInputMessage="1" showErrorMessage="1" xr:uid="{56FDF50E-FEF8-48B0-9A5C-1A26428D6218}">
          <x14:formula1>
            <xm:f>'EFid TK'!$A$92:$A$95</xm:f>
          </x14:formula1>
          <xm:sqref>E73:E76</xm:sqref>
        </x14:dataValidation>
        <x14:dataValidation type="list" allowBlank="1" showInputMessage="1" showErrorMessage="1" xr:uid="{32A0C00E-240B-419E-B3F9-0369271CFC28}">
          <x14:formula1>
            <xm:f>'EFid TK'!$A$98:$A$99</xm:f>
          </x14:formula1>
          <xm:sqref>E78:E80</xm:sqref>
        </x14:dataValidation>
        <x14:dataValidation type="list" allowBlank="1" showInputMessage="1" showErrorMessage="1" xr:uid="{28E5BA66-FD87-4BE0-B0F7-9D160A88A855}">
          <x14:formula1>
            <xm:f>'EFid TK'!$A$101:$A$103</xm:f>
          </x14:formula1>
          <xm:sqref>E82:E84</xm:sqref>
        </x14:dataValidation>
        <x14:dataValidation type="list" allowBlank="1" showInputMessage="1" showErrorMessage="1" xr:uid="{46F2895D-D9FC-4DEA-9DC8-0440FEC315B7}">
          <x14:formula1>
            <xm:f>EFid!$A$29:$A$31</xm:f>
          </x14:formula1>
          <xm:sqref>E184:E186</xm:sqref>
        </x14:dataValidation>
        <x14:dataValidation type="list" allowBlank="1" showInputMessage="1" showErrorMessage="1" xr:uid="{BD336785-BB5E-46F4-8B84-7E5925550CBB}">
          <x14:formula1>
            <xm:f>EFid!$A$243:$A$249</xm:f>
          </x14:formula1>
          <xm:sqref>D205:D211</xm:sqref>
        </x14:dataValidation>
        <x14:dataValidation type="list" allowBlank="1" showInputMessage="1" showErrorMessage="1" xr:uid="{B24E9BCE-055B-40C9-8386-B858AD047AAA}">
          <x14:formula1>
            <xm:f>'C-taust'!$A$38:$A$47</xm:f>
          </x14:formula1>
          <xm:sqref>G28:Z28</xm:sqref>
        </x14:dataValidation>
        <x14:dataValidation type="list" allowBlank="1" showInputMessage="1" showErrorMessage="1" xr:uid="{1282DBC2-C823-564A-9AC4-E8172A9E73B8}">
          <x14:formula1>
            <xm:f>'C-taust'!$H$12:$H$17</xm:f>
          </x14:formula1>
          <xm:sqref>I5:I10</xm:sqref>
        </x14:dataValidation>
        <x14:dataValidation type="list" allowBlank="1" showInputMessage="1" showErrorMessage="1" xr:uid="{D6368E35-802F-4556-A8EF-B8BCC167DB08}">
          <x14:formula1>
            <xm:f>'C-taust'!$B$33:$B$52</xm:f>
          </x14:formula1>
          <xm:sqref>AA28:AQ28</xm:sqref>
        </x14:dataValidation>
        <x14:dataValidation type="list" allowBlank="1" showInputMessage="1" showErrorMessage="1" xr:uid="{FF8E0577-0E72-4DB0-A2A0-244AB52DA966}">
          <x14:formula1>
            <xm:f>'C-taust'!$A$39:$A$47</xm:f>
          </x14:formula1>
          <xm:sqref>G26:AQ26</xm:sqref>
        </x14:dataValidation>
        <x14:dataValidation type="list" allowBlank="1" showInputMessage="1" showErrorMessage="1" xr:uid="{91A245E7-85AA-4098-B187-248612AFCF27}">
          <x14:formula1>
            <xm:f>'EFid TK'!$J$116:$J$165</xm:f>
          </x14:formula1>
          <xm:sqref>E91:E100</xm:sqref>
        </x14:dataValidation>
        <x14:dataValidation type="list" allowBlank="1" showInputMessage="1" showErrorMessage="1" xr:uid="{AE5406F4-EE32-460E-9B14-DD023E49CD81}">
          <x14:formula1>
            <xm:f>'EFid TK'!$J$192:$J$196</xm:f>
          </x14:formula1>
          <xm:sqref>E106:E111</xm:sqref>
        </x14:dataValidation>
        <x14:dataValidation type="list" allowBlank="1" showInputMessage="1" showErrorMessage="1" xr:uid="{43DE1C02-D37C-43A8-BD6F-833787B0EAFC}">
          <x14:formula1>
            <xm:f>'EFid TK'!$J$108:$J$114</xm:f>
          </x14:formula1>
          <xm:sqref>E132:E138</xm:sqref>
        </x14:dataValidation>
        <x14:dataValidation type="list" allowBlank="1" showInputMessage="1" showErrorMessage="1" xr:uid="{417A2240-9F18-445D-B4DC-0A6E8B4AF328}">
          <x14:formula1>
            <xm:f>'M1 - TK'!$A$38:$A$62</xm:f>
          </x14:formula1>
          <xm:sqref>G19:Z19</xm:sqref>
        </x14:dataValidation>
        <x14:dataValidation type="list" allowBlank="1" showInputMessage="1" showErrorMessage="1" xr:uid="{242D8380-F1F0-45DC-9192-6F925EF3D484}">
          <x14:formula1>
            <xm:f>'M1 - TK'!$A$63:$A$79</xm:f>
          </x14:formula1>
          <xm:sqref>AA19:AQ19</xm:sqref>
        </x14:dataValidation>
        <x14:dataValidation type="list" allowBlank="1" showInputMessage="1" showErrorMessage="1" xr:uid="{CCD3BEAA-9F9C-46AD-AFE2-4D1D0FAA63F5}">
          <x14:formula1>
            <xm:f>EFid!$A$50:$A$73</xm:f>
          </x14:formula1>
          <xm:sqref>E156:E159</xm:sqref>
        </x14:dataValidation>
        <x14:dataValidation type="list" allowBlank="1" showInputMessage="1" showErrorMessage="1" xr:uid="{6B3C9F1A-9953-4A87-883D-EE7107721552}">
          <x14:formula1>
            <xm:f>'EFid TK'!$A$151:$A$170</xm:f>
          </x14:formula1>
          <xm:sqref>E141:E151</xm:sqref>
        </x14:dataValidation>
        <x14:dataValidation type="list" allowBlank="1" showInputMessage="1" showErrorMessage="1" xr:uid="{B1DE35B0-1DBF-40E8-9F0D-81F9443ACD57}">
          <x14:formula1>
            <xm:f>'EFid TK'!$A$152:$A$166</xm:f>
          </x14:formula1>
          <xm:sqref>E140</xm:sqref>
        </x14:dataValidation>
        <x14:dataValidation type="list" allowBlank="1" showInputMessage="1" showErrorMessage="1" xr:uid="{61BCE697-20EB-41CD-8297-5B5A41F77036}">
          <x14:formula1>
            <xm:f>EFid!$A$3:$A$25</xm:f>
          </x14:formula1>
          <xm:sqref>E164:E167 E160</xm:sqref>
        </x14:dataValidation>
        <x14:dataValidation type="list" allowBlank="1" showInputMessage="1" showErrorMessage="1" xr:uid="{C95D07AA-9E79-4C1B-986E-F7DCCAC41113}">
          <x14:formula1>
            <xm:f>EFid!$A$415:$A$428</xm:f>
          </x14:formula1>
          <xm:sqref>D192:D201</xm:sqref>
        </x14:dataValidation>
        <x14:dataValidation type="list" allowBlank="1" showInputMessage="1" showErrorMessage="1" xr:uid="{F23526DB-2615-4BAD-81F8-8DE762896161}">
          <x14:formula1>
            <xm:f>EFid!$A$432:$A$501</xm:f>
          </x14:formula1>
          <xm:sqref>H73:H76 H78:H80 H82:H84 H59:H71 H86:H89 H102:H104 H113:H115 H128:H130 H140:H151</xm:sqref>
        </x14:dataValidation>
        <x14:dataValidation type="list" allowBlank="1" showInputMessage="1" showErrorMessage="1" xr:uid="{2D51AE73-A484-48B1-ABFE-E71A98BC812D}">
          <x14:formula1>
            <xm:f>'EFid TK'!$J$167:$J$190</xm:f>
          </x14:formula1>
          <xm:sqref>E117:E126</xm:sqref>
        </x14:dataValidation>
        <x14:dataValidation type="list" allowBlank="1" showInputMessage="1" showErrorMessage="1" xr:uid="{3E9576A5-FA64-428D-95FC-F2AD41F0B21E}">
          <x14:formula1>
            <xm:f>EFid!$I$4:$I$13</xm:f>
          </x14:formula1>
          <xm:sqref>G171:G180</xm:sqref>
        </x14:dataValidation>
        <x14:dataValidation type="list" allowBlank="1" showInputMessage="1" showErrorMessage="1" xr:uid="{55C2966C-38E8-4677-8FF4-38B678D5CEA2}">
          <x14:formula1>
            <xm:f>Ettev_kalk!$AV$5:$AV$10</xm:f>
          </x14:formula1>
          <xm:sqref>H23:AT23 G23</xm:sqref>
        </x14:dataValidation>
        <x14:dataValidation type="list" allowBlank="1" showInputMessage="1" showErrorMessage="1" xr:uid="{BDC1DE3C-6EF9-4CE6-A5CC-1D34921E147B}">
          <x14:formula1>
            <xm:f>'M1 - TK'!$A$80:$A$82</xm:f>
          </x14:formula1>
          <xm:sqref>AR19:AT19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1D20D-2EDA-4272-8565-3C58495F6988}">
  <dimension ref="A2:R140"/>
  <sheetViews>
    <sheetView topLeftCell="A68" workbookViewId="0">
      <selection activeCell="D124" sqref="D124"/>
    </sheetView>
  </sheetViews>
  <sheetFormatPr defaultColWidth="8.81640625" defaultRowHeight="14.5"/>
  <cols>
    <col min="1" max="1" width="42.453125" customWidth="1"/>
    <col min="2" max="2" width="15.81640625" customWidth="1"/>
    <col min="3" max="3" width="15.1796875" customWidth="1"/>
    <col min="4" max="4" width="82.453125" customWidth="1"/>
    <col min="5" max="8" width="9.1796875" bestFit="1" customWidth="1"/>
    <col min="9" max="9" width="25.54296875" customWidth="1"/>
    <col min="12" max="12" width="19.453125" customWidth="1"/>
    <col min="13" max="13" width="55.453125" customWidth="1"/>
    <col min="14" max="14" width="26.453125" customWidth="1"/>
    <col min="16" max="16" width="24.54296875" customWidth="1"/>
    <col min="17" max="17" width="52.81640625" customWidth="1"/>
    <col min="18" max="18" width="25" customWidth="1"/>
  </cols>
  <sheetData>
    <row r="2" spans="1:9">
      <c r="A2" s="1416" t="s">
        <v>59</v>
      </c>
      <c r="B2" s="1417"/>
      <c r="C2" s="1417"/>
      <c r="D2" s="1417"/>
      <c r="E2" s="1417"/>
      <c r="F2" s="1417"/>
      <c r="G2" s="1417"/>
      <c r="H2" s="1417"/>
      <c r="I2" s="1418"/>
    </row>
    <row r="4" spans="1:9">
      <c r="A4" s="134" t="s">
        <v>1657</v>
      </c>
      <c r="B4" s="135" t="s">
        <v>1658</v>
      </c>
      <c r="C4" s="136" t="s">
        <v>19</v>
      </c>
      <c r="D4" s="134" t="s">
        <v>1636</v>
      </c>
    </row>
    <row r="5" spans="1:9">
      <c r="A5" s="134" t="s">
        <v>435</v>
      </c>
      <c r="B5" s="135"/>
      <c r="C5" s="136"/>
      <c r="D5" s="134"/>
    </row>
    <row r="6" spans="1:9">
      <c r="A6" s="137" t="s">
        <v>2435</v>
      </c>
      <c r="B6" s="138">
        <v>3.32</v>
      </c>
      <c r="C6" s="139" t="s">
        <v>1660</v>
      </c>
      <c r="D6" s="624" t="s">
        <v>1661</v>
      </c>
    </row>
    <row r="7" spans="1:9">
      <c r="A7" s="137" t="s">
        <v>2436</v>
      </c>
      <c r="B7" s="138">
        <v>7.11</v>
      </c>
      <c r="C7" s="139" t="s">
        <v>1660</v>
      </c>
      <c r="D7" s="624" t="s">
        <v>1661</v>
      </c>
    </row>
    <row r="8" spans="1:9">
      <c r="A8" s="137" t="s">
        <v>2437</v>
      </c>
      <c r="B8" s="138">
        <v>6.71</v>
      </c>
      <c r="C8" s="139" t="s">
        <v>1660</v>
      </c>
      <c r="D8" s="624" t="s">
        <v>1661</v>
      </c>
    </row>
    <row r="9" spans="1:9">
      <c r="A9" s="137" t="s">
        <v>2438</v>
      </c>
      <c r="B9" s="138">
        <v>6.37</v>
      </c>
      <c r="C9" s="139" t="s">
        <v>1660</v>
      </c>
      <c r="D9" s="624" t="s">
        <v>1661</v>
      </c>
    </row>
    <row r="10" spans="1:9">
      <c r="A10" s="137" t="s">
        <v>2439</v>
      </c>
      <c r="B10" s="138">
        <v>6.15</v>
      </c>
      <c r="C10" s="139" t="s">
        <v>1660</v>
      </c>
      <c r="D10" s="624" t="s">
        <v>1661</v>
      </c>
    </row>
    <row r="11" spans="1:9">
      <c r="A11" s="137" t="s">
        <v>2440</v>
      </c>
      <c r="B11" s="138">
        <v>7.15</v>
      </c>
      <c r="C11" s="139" t="s">
        <v>1660</v>
      </c>
      <c r="D11" s="624" t="s">
        <v>1661</v>
      </c>
    </row>
    <row r="12" spans="1:9">
      <c r="A12" s="137" t="s">
        <v>2441</v>
      </c>
      <c r="B12" s="138">
        <v>7</v>
      </c>
      <c r="C12" s="139" t="s">
        <v>1660</v>
      </c>
      <c r="D12" s="624" t="s">
        <v>1661</v>
      </c>
    </row>
    <row r="13" spans="1:9">
      <c r="A13" s="137" t="s">
        <v>2442</v>
      </c>
      <c r="B13" s="138">
        <v>6.77</v>
      </c>
      <c r="C13" s="139" t="s">
        <v>1660</v>
      </c>
      <c r="D13" s="624" t="s">
        <v>1661</v>
      </c>
    </row>
    <row r="14" spans="1:9">
      <c r="A14" s="137" t="s">
        <v>2443</v>
      </c>
      <c r="B14" s="138">
        <v>6.12</v>
      </c>
      <c r="C14" s="139" t="s">
        <v>1660</v>
      </c>
      <c r="D14" s="624" t="s">
        <v>1661</v>
      </c>
    </row>
    <row r="15" spans="1:9">
      <c r="A15" s="137" t="s">
        <v>2444</v>
      </c>
      <c r="B15" s="138">
        <v>9.67</v>
      </c>
      <c r="C15" s="139" t="s">
        <v>1660</v>
      </c>
      <c r="D15" s="624" t="s">
        <v>1661</v>
      </c>
    </row>
    <row r="16" spans="1:9">
      <c r="A16" s="137" t="s">
        <v>2445</v>
      </c>
      <c r="B16" s="138">
        <v>3.52</v>
      </c>
      <c r="C16" s="139" t="s">
        <v>1660</v>
      </c>
      <c r="D16" s="624" t="s">
        <v>1661</v>
      </c>
    </row>
    <row r="17" spans="1:4">
      <c r="A17" s="137" t="s">
        <v>2446</v>
      </c>
      <c r="B17" s="138">
        <v>7.34</v>
      </c>
      <c r="C17" s="139" t="s">
        <v>1660</v>
      </c>
      <c r="D17" s="624" t="s">
        <v>1661</v>
      </c>
    </row>
    <row r="18" spans="1:4">
      <c r="A18" s="137" t="s">
        <v>2447</v>
      </c>
      <c r="B18" s="138">
        <v>6.93</v>
      </c>
      <c r="C18" s="139" t="s">
        <v>1660</v>
      </c>
      <c r="D18" s="624" t="s">
        <v>1661</v>
      </c>
    </row>
    <row r="19" spans="1:4">
      <c r="A19" s="137" t="s">
        <v>2448</v>
      </c>
      <c r="B19" s="138">
        <v>6.59</v>
      </c>
      <c r="C19" s="139" t="s">
        <v>1660</v>
      </c>
      <c r="D19" s="624" t="s">
        <v>1661</v>
      </c>
    </row>
    <row r="20" spans="1:4">
      <c r="A20" s="137" t="s">
        <v>2449</v>
      </c>
      <c r="B20" s="138">
        <v>6.38</v>
      </c>
      <c r="C20" s="139" t="s">
        <v>1660</v>
      </c>
      <c r="D20" s="624" t="s">
        <v>1661</v>
      </c>
    </row>
    <row r="21" spans="1:4">
      <c r="A21" s="137" t="s">
        <v>2450</v>
      </c>
      <c r="B21" s="138">
        <v>7.39</v>
      </c>
      <c r="C21" s="139" t="s">
        <v>1660</v>
      </c>
      <c r="D21" s="624" t="s">
        <v>1661</v>
      </c>
    </row>
    <row r="22" spans="1:4">
      <c r="A22" s="137" t="s">
        <v>2451</v>
      </c>
      <c r="B22" s="138">
        <v>7.25</v>
      </c>
      <c r="C22" s="139" t="s">
        <v>1660</v>
      </c>
      <c r="D22" s="624" t="s">
        <v>1661</v>
      </c>
    </row>
    <row r="23" spans="1:4">
      <c r="A23" s="137" t="s">
        <v>2452</v>
      </c>
      <c r="B23" s="138">
        <v>7.05</v>
      </c>
      <c r="C23" s="139" t="s">
        <v>1660</v>
      </c>
      <c r="D23" s="624" t="s">
        <v>1661</v>
      </c>
    </row>
    <row r="24" spans="1:4">
      <c r="A24" s="137" t="s">
        <v>2453</v>
      </c>
      <c r="B24" s="138">
        <v>6.38</v>
      </c>
      <c r="C24" s="139" t="s">
        <v>1660</v>
      </c>
      <c r="D24" s="624" t="s">
        <v>1661</v>
      </c>
    </row>
    <row r="25" spans="1:4">
      <c r="A25" s="137" t="s">
        <v>2454</v>
      </c>
      <c r="B25" s="138">
        <v>9.9700000000000006</v>
      </c>
      <c r="C25" s="139" t="s">
        <v>1660</v>
      </c>
      <c r="D25" s="624" t="s">
        <v>1661</v>
      </c>
    </row>
    <row r="26" spans="1:4">
      <c r="A26" s="137" t="s">
        <v>2455</v>
      </c>
      <c r="B26" s="138">
        <v>3.5</v>
      </c>
      <c r="C26" s="139" t="s">
        <v>1660</v>
      </c>
      <c r="D26" s="624" t="s">
        <v>1661</v>
      </c>
    </row>
    <row r="27" spans="1:4">
      <c r="A27" s="137" t="s">
        <v>2456</v>
      </c>
      <c r="B27" s="138">
        <v>4</v>
      </c>
      <c r="C27" s="139" t="s">
        <v>1660</v>
      </c>
      <c r="D27" s="624" t="s">
        <v>1661</v>
      </c>
    </row>
    <row r="28" spans="1:4">
      <c r="A28" s="137" t="s">
        <v>2457</v>
      </c>
      <c r="B28" s="138">
        <v>3.78</v>
      </c>
      <c r="C28" s="139" t="s">
        <v>1660</v>
      </c>
      <c r="D28" s="624" t="s">
        <v>1661</v>
      </c>
    </row>
    <row r="29" spans="1:4">
      <c r="A29" s="137" t="s">
        <v>2458</v>
      </c>
      <c r="B29" s="138">
        <v>3.8</v>
      </c>
      <c r="C29" s="139" t="s">
        <v>1660</v>
      </c>
      <c r="D29" s="624" t="s">
        <v>1661</v>
      </c>
    </row>
    <row r="30" spans="1:4">
      <c r="A30" s="137" t="s">
        <v>2459</v>
      </c>
      <c r="B30" s="138">
        <v>3.61</v>
      </c>
      <c r="C30" s="139" t="s">
        <v>1660</v>
      </c>
      <c r="D30" s="624" t="s">
        <v>1661</v>
      </c>
    </row>
    <row r="31" spans="1:4">
      <c r="A31" s="137" t="s">
        <v>2460</v>
      </c>
      <c r="B31" s="138">
        <v>3.63</v>
      </c>
      <c r="C31" s="139" t="s">
        <v>1660</v>
      </c>
      <c r="D31" s="624" t="s">
        <v>1661</v>
      </c>
    </row>
    <row r="32" spans="1:4">
      <c r="A32" s="137" t="s">
        <v>2461</v>
      </c>
      <c r="B32" s="138">
        <v>3.62</v>
      </c>
      <c r="C32" s="139" t="s">
        <v>1660</v>
      </c>
      <c r="D32" s="624" t="s">
        <v>1661</v>
      </c>
    </row>
    <row r="33" spans="1:4">
      <c r="A33" s="137" t="s">
        <v>2462</v>
      </c>
      <c r="B33" s="138">
        <v>4.3600000000000003</v>
      </c>
      <c r="C33" s="139" t="s">
        <v>1660</v>
      </c>
      <c r="D33" s="624" t="s">
        <v>1661</v>
      </c>
    </row>
    <row r="34" spans="1:4">
      <c r="A34" s="137" t="s">
        <v>2463</v>
      </c>
      <c r="B34" s="138">
        <v>3.23</v>
      </c>
      <c r="C34" s="139" t="s">
        <v>1660</v>
      </c>
      <c r="D34" s="624" t="s">
        <v>1661</v>
      </c>
    </row>
    <row r="35" spans="1:4">
      <c r="A35" s="137" t="s">
        <v>2464</v>
      </c>
      <c r="B35" s="138">
        <v>5.33</v>
      </c>
      <c r="C35" s="139" t="s">
        <v>1660</v>
      </c>
      <c r="D35" s="624" t="s">
        <v>1661</v>
      </c>
    </row>
    <row r="36" spans="1:4">
      <c r="A36" s="137" t="s">
        <v>2465</v>
      </c>
      <c r="B36" s="138">
        <v>3.4</v>
      </c>
      <c r="C36" s="139" t="s">
        <v>1660</v>
      </c>
      <c r="D36" s="624" t="s">
        <v>1661</v>
      </c>
    </row>
    <row r="37" spans="1:4">
      <c r="A37" s="137" t="s">
        <v>2466</v>
      </c>
      <c r="B37" s="138">
        <v>5.56</v>
      </c>
      <c r="C37" s="139" t="s">
        <v>1660</v>
      </c>
      <c r="D37" s="624" t="s">
        <v>1661</v>
      </c>
    </row>
    <row r="38" spans="1:4">
      <c r="A38" s="137" t="s">
        <v>2467</v>
      </c>
      <c r="B38" s="138">
        <v>5.24</v>
      </c>
      <c r="C38" s="139" t="s">
        <v>1660</v>
      </c>
      <c r="D38" s="624" t="s">
        <v>1661</v>
      </c>
    </row>
    <row r="39" spans="1:4">
      <c r="A39" s="137" t="s">
        <v>2468</v>
      </c>
      <c r="B39" s="138">
        <v>5.09</v>
      </c>
      <c r="C39" s="139" t="s">
        <v>1660</v>
      </c>
      <c r="D39" s="624" t="s">
        <v>1661</v>
      </c>
    </row>
    <row r="40" spans="1:4">
      <c r="A40" s="137" t="s">
        <v>2469</v>
      </c>
      <c r="B40" s="138">
        <v>4.8899999999999997</v>
      </c>
      <c r="C40" s="139" t="s">
        <v>1660</v>
      </c>
      <c r="D40" s="624" t="s">
        <v>1661</v>
      </c>
    </row>
    <row r="41" spans="1:4">
      <c r="A41" s="137" t="s">
        <v>2470</v>
      </c>
      <c r="B41" s="138">
        <v>5.27</v>
      </c>
      <c r="C41" s="139" t="s">
        <v>1660</v>
      </c>
      <c r="D41" s="624" t="s">
        <v>1661</v>
      </c>
    </row>
    <row r="42" spans="1:4">
      <c r="A42" s="137" t="s">
        <v>2471</v>
      </c>
      <c r="B42" s="138">
        <v>5.33</v>
      </c>
      <c r="C42" s="139" t="s">
        <v>1660</v>
      </c>
      <c r="D42" s="624" t="s">
        <v>1661</v>
      </c>
    </row>
    <row r="43" spans="1:4">
      <c r="A43" s="137" t="s">
        <v>2472</v>
      </c>
      <c r="B43" s="138">
        <v>5.59</v>
      </c>
      <c r="C43" s="139" t="s">
        <v>1660</v>
      </c>
      <c r="D43" s="624" t="s">
        <v>1661</v>
      </c>
    </row>
    <row r="44" spans="1:4">
      <c r="A44" s="137" t="s">
        <v>2473</v>
      </c>
      <c r="B44" s="138">
        <v>4.6900000000000004</v>
      </c>
      <c r="C44" s="139" t="s">
        <v>1660</v>
      </c>
      <c r="D44" s="624" t="s">
        <v>1661</v>
      </c>
    </row>
    <row r="45" spans="1:4">
      <c r="A45" s="137" t="s">
        <v>2474</v>
      </c>
      <c r="B45" s="138">
        <v>7.52</v>
      </c>
      <c r="C45" s="139" t="s">
        <v>1660</v>
      </c>
      <c r="D45" s="624" t="s">
        <v>1661</v>
      </c>
    </row>
    <row r="46" spans="1:4">
      <c r="A46" s="141" t="s">
        <v>1701</v>
      </c>
      <c r="B46" s="142">
        <f>1.24/0.335</f>
        <v>3.7014925373134324</v>
      </c>
      <c r="C46" s="143" t="s">
        <v>1702</v>
      </c>
      <c r="D46" s="141" t="s">
        <v>1703</v>
      </c>
    </row>
    <row r="47" spans="1:4">
      <c r="A47" s="141" t="s">
        <v>1704</v>
      </c>
      <c r="B47" s="142">
        <f>1.04/0.27</f>
        <v>3.8518518518518516</v>
      </c>
      <c r="C47" s="143" t="s">
        <v>1702</v>
      </c>
      <c r="D47" s="141" t="s">
        <v>1705</v>
      </c>
    </row>
    <row r="48" spans="1:4">
      <c r="A48" s="141" t="s">
        <v>1706</v>
      </c>
      <c r="B48" s="142">
        <f>1.06/0.3</f>
        <v>3.5333333333333337</v>
      </c>
      <c r="C48" s="143" t="s">
        <v>1702</v>
      </c>
      <c r="D48" s="141" t="s">
        <v>1707</v>
      </c>
    </row>
    <row r="49" spans="1:4">
      <c r="A49" s="141" t="s">
        <v>1708</v>
      </c>
      <c r="B49" s="142">
        <f>1.52/0.46</f>
        <v>3.3043478260869565</v>
      </c>
      <c r="C49" s="143" t="s">
        <v>1702</v>
      </c>
      <c r="D49" s="141" t="s">
        <v>1709</v>
      </c>
    </row>
    <row r="50" spans="1:4">
      <c r="A50" s="141" t="s">
        <v>1710</v>
      </c>
      <c r="B50" s="142">
        <f>0.65/0.155</f>
        <v>4.193548387096774</v>
      </c>
      <c r="C50" s="143" t="s">
        <v>1702</v>
      </c>
      <c r="D50" s="144" t="s">
        <v>1711</v>
      </c>
    </row>
    <row r="51" spans="1:4">
      <c r="A51" s="141" t="s">
        <v>1712</v>
      </c>
      <c r="B51" s="142">
        <f>0.8*100/15</f>
        <v>5.333333333333333</v>
      </c>
      <c r="C51" s="143" t="s">
        <v>1702</v>
      </c>
      <c r="D51" s="145" t="s">
        <v>1713</v>
      </c>
    </row>
    <row r="52" spans="1:4">
      <c r="A52" s="137" t="s">
        <v>1714</v>
      </c>
      <c r="B52" s="138">
        <v>2.7238094999999998</v>
      </c>
      <c r="C52" s="139" t="s">
        <v>1702</v>
      </c>
      <c r="D52" s="137" t="s">
        <v>1715</v>
      </c>
    </row>
    <row r="53" spans="1:4">
      <c r="A53" s="137" t="s">
        <v>1716</v>
      </c>
      <c r="B53" s="138">
        <v>3.1615385000000003</v>
      </c>
      <c r="C53" s="139" t="s">
        <v>1702</v>
      </c>
      <c r="D53" s="137" t="s">
        <v>1715</v>
      </c>
    </row>
    <row r="54" spans="1:4">
      <c r="A54" s="137" t="s">
        <v>1717</v>
      </c>
      <c r="B54" s="138">
        <v>4.3483871000000001</v>
      </c>
      <c r="C54" s="139" t="s">
        <v>1702</v>
      </c>
      <c r="D54" s="137" t="s">
        <v>1715</v>
      </c>
    </row>
    <row r="55" spans="1:4">
      <c r="A55" s="137" t="s">
        <v>2475</v>
      </c>
      <c r="B55" s="138">
        <v>5.8806000000000003</v>
      </c>
      <c r="C55" s="139" t="s">
        <v>1702</v>
      </c>
      <c r="D55" s="137" t="s">
        <v>1719</v>
      </c>
    </row>
    <row r="56" spans="1:4">
      <c r="A56" s="141"/>
      <c r="B56" s="142"/>
      <c r="C56" s="143"/>
      <c r="D56" s="145"/>
    </row>
    <row r="57" spans="1:4">
      <c r="A57" s="146" t="s">
        <v>1720</v>
      </c>
      <c r="B57" s="142"/>
      <c r="C57" s="143"/>
      <c r="D57" s="145"/>
    </row>
    <row r="58" spans="1:4">
      <c r="A58" s="137" t="s">
        <v>1721</v>
      </c>
      <c r="B58" s="138">
        <v>0.54200000000000004</v>
      </c>
      <c r="C58" s="139" t="s">
        <v>1722</v>
      </c>
      <c r="D58" s="147" t="s">
        <v>1715</v>
      </c>
    </row>
    <row r="59" spans="1:4" ht="22">
      <c r="A59" s="137" t="s">
        <v>2476</v>
      </c>
      <c r="B59" s="138">
        <v>9.5000000000000001E-2</v>
      </c>
      <c r="C59" s="139" t="s">
        <v>1722</v>
      </c>
      <c r="D59" s="625" t="s">
        <v>1724</v>
      </c>
    </row>
    <row r="60" spans="1:4">
      <c r="A60" s="137" t="s">
        <v>2477</v>
      </c>
      <c r="B60" s="138">
        <v>1.024</v>
      </c>
      <c r="C60" s="139" t="s">
        <v>1722</v>
      </c>
      <c r="D60" s="137" t="s">
        <v>1715</v>
      </c>
    </row>
    <row r="61" spans="1:4">
      <c r="A61" s="137" t="s">
        <v>2478</v>
      </c>
      <c r="B61" s="138">
        <v>1.5449999999999999</v>
      </c>
      <c r="C61" s="139" t="s">
        <v>1722</v>
      </c>
      <c r="D61" s="137" t="s">
        <v>1715</v>
      </c>
    </row>
    <row r="62" spans="1:4">
      <c r="A62" s="137"/>
      <c r="B62" s="138"/>
      <c r="C62" s="139"/>
      <c r="D62" s="137"/>
    </row>
    <row r="63" spans="1:4">
      <c r="A63" s="134" t="s">
        <v>1728</v>
      </c>
      <c r="B63" s="138"/>
      <c r="C63" s="139"/>
      <c r="D63" s="137"/>
    </row>
    <row r="64" spans="1:4">
      <c r="A64" s="137" t="s">
        <v>2479</v>
      </c>
      <c r="B64" s="138">
        <v>0.41333330000000001</v>
      </c>
      <c r="C64" s="139" t="s">
        <v>1730</v>
      </c>
      <c r="D64" s="137" t="s">
        <v>1715</v>
      </c>
    </row>
    <row r="65" spans="1:18">
      <c r="A65" s="137" t="s">
        <v>2480</v>
      </c>
      <c r="B65" s="138">
        <v>0.57610000000000006</v>
      </c>
      <c r="C65" s="139" t="s">
        <v>1730</v>
      </c>
      <c r="D65" s="137" t="s">
        <v>1715</v>
      </c>
    </row>
    <row r="66" spans="1:18">
      <c r="A66" s="137"/>
      <c r="B66" s="138"/>
      <c r="C66" s="139"/>
      <c r="D66" s="137"/>
    </row>
    <row r="67" spans="1:18">
      <c r="A67" s="134" t="s">
        <v>1731</v>
      </c>
    </row>
    <row r="68" spans="1:18" ht="22">
      <c r="A68" s="137" t="s">
        <v>1732</v>
      </c>
      <c r="B68" s="138">
        <v>0.76900000000000002</v>
      </c>
      <c r="C68" s="139" t="s">
        <v>1733</v>
      </c>
      <c r="D68" s="626" t="s">
        <v>1724</v>
      </c>
    </row>
    <row r="69" spans="1:18">
      <c r="A69" s="137" t="s">
        <v>2481</v>
      </c>
      <c r="B69" s="138">
        <v>0.1295</v>
      </c>
      <c r="C69" s="139" t="s">
        <v>1735</v>
      </c>
      <c r="D69" s="137" t="s">
        <v>1715</v>
      </c>
    </row>
    <row r="70" spans="1:18">
      <c r="A70" s="137" t="s">
        <v>2482</v>
      </c>
      <c r="B70" s="627">
        <v>1.62</v>
      </c>
      <c r="C70" s="139" t="s">
        <v>1736</v>
      </c>
      <c r="D70" s="137" t="s">
        <v>1715</v>
      </c>
    </row>
    <row r="72" spans="1:18" ht="15" thickBot="1"/>
    <row r="73" spans="1:18" ht="15" thickBot="1">
      <c r="A73" s="1416" t="s">
        <v>2483</v>
      </c>
      <c r="B73" s="1417"/>
      <c r="C73" s="1417"/>
      <c r="D73" s="1417"/>
      <c r="E73" s="1417"/>
      <c r="F73" s="1417"/>
      <c r="G73" s="1417"/>
      <c r="H73" s="1417"/>
      <c r="I73" s="1417"/>
      <c r="J73" s="1417"/>
      <c r="K73" s="1417"/>
      <c r="L73" s="1417"/>
      <c r="M73" s="1417"/>
      <c r="N73" s="1417"/>
      <c r="O73" s="1417"/>
      <c r="P73" s="1417"/>
      <c r="Q73" s="1417"/>
      <c r="R73" s="1418"/>
    </row>
    <row r="75" spans="1:18">
      <c r="L75" s="845" t="s">
        <v>434</v>
      </c>
      <c r="M75" s="260"/>
      <c r="N75" s="260"/>
      <c r="P75" s="845" t="s">
        <v>431</v>
      </c>
      <c r="Q75" s="260"/>
      <c r="R75" s="260"/>
    </row>
    <row r="76" spans="1:18" ht="29">
      <c r="A76" s="1383" t="s">
        <v>1737</v>
      </c>
      <c r="B76" s="1383"/>
      <c r="C76" s="1383"/>
      <c r="D76" s="1383"/>
      <c r="E76" s="1"/>
      <c r="F76" s="1383" t="s">
        <v>1805</v>
      </c>
      <c r="G76" s="1383"/>
      <c r="H76" s="1383"/>
      <c r="I76" s="1383"/>
      <c r="L76" s="1" t="s">
        <v>1738</v>
      </c>
      <c r="M76" s="1" t="s">
        <v>1739</v>
      </c>
      <c r="N76" s="1156" t="s">
        <v>2563</v>
      </c>
      <c r="P76" s="1" t="s">
        <v>1738</v>
      </c>
      <c r="Q76" s="1" t="s">
        <v>1739</v>
      </c>
      <c r="R76" s="1156" t="s">
        <v>2563</v>
      </c>
    </row>
    <row r="77" spans="1:18">
      <c r="A77" s="153" t="s">
        <v>1741</v>
      </c>
      <c r="B77" s="154" t="s">
        <v>1742</v>
      </c>
      <c r="C77" s="154" t="s">
        <v>612</v>
      </c>
      <c r="D77" s="153" t="s">
        <v>1743</v>
      </c>
      <c r="F77" s="153" t="s">
        <v>1741</v>
      </c>
      <c r="G77" s="154" t="s">
        <v>1742</v>
      </c>
      <c r="H77" s="154" t="s">
        <v>612</v>
      </c>
      <c r="I77" s="153" t="s">
        <v>1743</v>
      </c>
      <c r="L77" t="s">
        <v>1746</v>
      </c>
      <c r="M77" t="s">
        <v>1747</v>
      </c>
      <c r="N77">
        <v>0.32924999999999999</v>
      </c>
      <c r="P77" t="s">
        <v>1768</v>
      </c>
      <c r="Q77" t="s">
        <v>1769</v>
      </c>
      <c r="R77">
        <v>1.296</v>
      </c>
    </row>
    <row r="78" spans="1:18">
      <c r="A78" s="31" t="s">
        <v>1782</v>
      </c>
      <c r="B78" s="155">
        <v>128.85</v>
      </c>
      <c r="C78" s="156">
        <f t="shared" ref="C78:C106" si="0">B78*0.023</f>
        <v>2.9635499999999997</v>
      </c>
      <c r="D78" s="31" t="s">
        <v>1745</v>
      </c>
      <c r="F78" s="31" t="s">
        <v>1828</v>
      </c>
      <c r="G78" s="155">
        <v>109</v>
      </c>
      <c r="H78" s="156">
        <f t="shared" ref="H78:H88" si="1">G78*0.023</f>
        <v>2.5070000000000001</v>
      </c>
      <c r="I78" s="31" t="s">
        <v>1749</v>
      </c>
      <c r="L78" t="s">
        <v>1750</v>
      </c>
      <c r="M78" t="s">
        <v>1751</v>
      </c>
      <c r="N78">
        <v>0.20550000000000002</v>
      </c>
      <c r="P78" t="s">
        <v>1771</v>
      </c>
      <c r="Q78" t="s">
        <v>1772</v>
      </c>
      <c r="R78">
        <v>0.97040000000000004</v>
      </c>
    </row>
    <row r="79" spans="1:18">
      <c r="A79" s="31" t="s">
        <v>1744</v>
      </c>
      <c r="B79" s="155">
        <v>94</v>
      </c>
      <c r="C79" s="156">
        <f t="shared" si="0"/>
        <v>2.1619999999999999</v>
      </c>
      <c r="D79" s="31" t="s">
        <v>1745</v>
      </c>
      <c r="F79" s="31" t="s">
        <v>1819</v>
      </c>
      <c r="G79" s="155">
        <v>453.5</v>
      </c>
      <c r="H79" s="156">
        <f t="shared" si="1"/>
        <v>10.4305</v>
      </c>
      <c r="I79" s="31" t="s">
        <v>1749</v>
      </c>
      <c r="L79" t="s">
        <v>1753</v>
      </c>
      <c r="M79" t="s">
        <v>1754</v>
      </c>
      <c r="N79">
        <v>0.32966999999999996</v>
      </c>
      <c r="P79" t="s">
        <v>1774</v>
      </c>
      <c r="Q79" t="s">
        <v>1775</v>
      </c>
      <c r="R79">
        <v>4.6339999999999995</v>
      </c>
    </row>
    <row r="80" spans="1:18">
      <c r="A80" s="31" t="s">
        <v>1758</v>
      </c>
      <c r="B80" s="155">
        <v>294.5</v>
      </c>
      <c r="C80" s="156">
        <f t="shared" si="0"/>
        <v>6.7735000000000003</v>
      </c>
      <c r="D80" s="31" t="s">
        <v>1745</v>
      </c>
      <c r="F80" s="31" t="s">
        <v>1816</v>
      </c>
      <c r="G80" s="155">
        <v>153</v>
      </c>
      <c r="H80" s="156">
        <f t="shared" si="1"/>
        <v>3.5190000000000001</v>
      </c>
      <c r="I80" s="31" t="s">
        <v>1749</v>
      </c>
      <c r="L80" t="s">
        <v>1756</v>
      </c>
      <c r="M80" t="s">
        <v>1757</v>
      </c>
      <c r="N80">
        <v>8.2500000000000004E-2</v>
      </c>
      <c r="P80" t="s">
        <v>1777</v>
      </c>
      <c r="Q80" t="s">
        <v>1778</v>
      </c>
      <c r="R80">
        <v>0.33100000000000002</v>
      </c>
    </row>
    <row r="81" spans="1:18">
      <c r="A81" s="31" t="s">
        <v>1796</v>
      </c>
      <c r="B81" s="155">
        <v>289.5</v>
      </c>
      <c r="C81" s="156">
        <f t="shared" si="0"/>
        <v>6.6585000000000001</v>
      </c>
      <c r="D81" s="31" t="s">
        <v>1745</v>
      </c>
      <c r="F81" s="31" t="s">
        <v>1837</v>
      </c>
      <c r="G81" s="155">
        <v>583</v>
      </c>
      <c r="H81" s="156">
        <f t="shared" si="1"/>
        <v>13.408999999999999</v>
      </c>
      <c r="I81" s="31" t="s">
        <v>1745</v>
      </c>
      <c r="L81" t="s">
        <v>1759</v>
      </c>
      <c r="M81" t="s">
        <v>1760</v>
      </c>
      <c r="N81">
        <v>0.57599999999999996</v>
      </c>
      <c r="P81" t="s">
        <v>1780</v>
      </c>
      <c r="Q81" t="s">
        <v>1781</v>
      </c>
      <c r="R81">
        <v>3.2591999999999999</v>
      </c>
    </row>
    <row r="82" spans="1:18">
      <c r="A82" s="31" t="s">
        <v>1764</v>
      </c>
      <c r="B82" s="155">
        <v>271.75</v>
      </c>
      <c r="C82" s="156">
        <f t="shared" si="0"/>
        <v>6.2502500000000003</v>
      </c>
      <c r="D82" s="31" t="s">
        <v>1749</v>
      </c>
      <c r="F82" s="31" t="s">
        <v>1825</v>
      </c>
      <c r="G82" s="155">
        <v>258.60000000000002</v>
      </c>
      <c r="H82" s="156">
        <f t="shared" si="1"/>
        <v>5.9478000000000009</v>
      </c>
      <c r="I82" s="31" t="s">
        <v>1749</v>
      </c>
      <c r="L82" t="s">
        <v>1762</v>
      </c>
      <c r="M82" t="s">
        <v>1763</v>
      </c>
      <c r="N82">
        <v>0.16500000000000001</v>
      </c>
      <c r="P82" t="s">
        <v>1783</v>
      </c>
      <c r="Q82" t="s">
        <v>1784</v>
      </c>
      <c r="R82">
        <v>3.7547999999999999</v>
      </c>
    </row>
    <row r="83" spans="1:18">
      <c r="A83" s="31" t="s">
        <v>1748</v>
      </c>
      <c r="B83" s="155">
        <v>188.65</v>
      </c>
      <c r="C83" s="156">
        <f t="shared" si="0"/>
        <v>4.3389499999999996</v>
      </c>
      <c r="D83" s="31" t="s">
        <v>1749</v>
      </c>
      <c r="F83" s="31" t="s">
        <v>1813</v>
      </c>
      <c r="G83" s="155">
        <v>209</v>
      </c>
      <c r="H83" s="156">
        <f t="shared" si="1"/>
        <v>4.8069999999999995</v>
      </c>
      <c r="I83" s="31" t="s">
        <v>1749</v>
      </c>
      <c r="L83" t="s">
        <v>130</v>
      </c>
      <c r="M83" t="s">
        <v>1765</v>
      </c>
      <c r="N83">
        <v>0.23100000000000001</v>
      </c>
      <c r="P83" t="s">
        <v>1786</v>
      </c>
      <c r="Q83" t="s">
        <v>1787</v>
      </c>
      <c r="R83">
        <v>2.2110799999999999</v>
      </c>
    </row>
    <row r="84" spans="1:18">
      <c r="A84" s="31" t="s">
        <v>1799</v>
      </c>
      <c r="B84" s="155">
        <v>148.94999999999999</v>
      </c>
      <c r="C84" s="156">
        <f t="shared" si="0"/>
        <v>3.4258499999999996</v>
      </c>
      <c r="D84" s="31" t="s">
        <v>1749</v>
      </c>
      <c r="F84" s="31" t="s">
        <v>1819</v>
      </c>
      <c r="G84" s="155">
        <v>454</v>
      </c>
      <c r="H84" s="156">
        <f t="shared" si="1"/>
        <v>10.442</v>
      </c>
      <c r="I84" s="31" t="s">
        <v>1749</v>
      </c>
      <c r="L84" s="845" t="s">
        <v>433</v>
      </c>
      <c r="M84" s="845"/>
      <c r="N84" s="845"/>
      <c r="P84" t="s">
        <v>1789</v>
      </c>
      <c r="Q84" t="s">
        <v>1790</v>
      </c>
      <c r="R84">
        <v>4.7856000000000005</v>
      </c>
    </row>
    <row r="85" spans="1:18" ht="29">
      <c r="A85" s="31" t="s">
        <v>1761</v>
      </c>
      <c r="B85" s="155">
        <v>399.5</v>
      </c>
      <c r="C85" s="156">
        <f t="shared" si="0"/>
        <v>9.1884999999999994</v>
      </c>
      <c r="D85" s="31" t="s">
        <v>1749</v>
      </c>
      <c r="F85" s="31" t="s">
        <v>1816</v>
      </c>
      <c r="G85" s="155">
        <v>153</v>
      </c>
      <c r="H85" s="156">
        <f t="shared" si="1"/>
        <v>3.5190000000000001</v>
      </c>
      <c r="I85" s="31" t="s">
        <v>1749</v>
      </c>
      <c r="L85" s="1" t="s">
        <v>1738</v>
      </c>
      <c r="M85" s="1" t="s">
        <v>1739</v>
      </c>
      <c r="N85" s="1156" t="s">
        <v>2563</v>
      </c>
      <c r="Q85" t="s">
        <v>1793</v>
      </c>
      <c r="R85">
        <v>0.38395999999999997</v>
      </c>
    </row>
    <row r="86" spans="1:18">
      <c r="A86" s="31" t="s">
        <v>1770</v>
      </c>
      <c r="B86" s="155">
        <v>453.5</v>
      </c>
      <c r="C86" s="156">
        <f t="shared" si="0"/>
        <v>10.4305</v>
      </c>
      <c r="D86" s="31" t="s">
        <v>1745</v>
      </c>
      <c r="F86" s="31" t="s">
        <v>1822</v>
      </c>
      <c r="G86" s="155">
        <v>580</v>
      </c>
      <c r="H86" s="156">
        <f t="shared" si="1"/>
        <v>13.34</v>
      </c>
      <c r="I86" s="31" t="s">
        <v>1745</v>
      </c>
      <c r="L86" t="s">
        <v>1905</v>
      </c>
      <c r="M86" t="s">
        <v>1906</v>
      </c>
      <c r="N86">
        <v>0.82499999999999996</v>
      </c>
      <c r="P86" t="s">
        <v>111</v>
      </c>
      <c r="Q86" t="s">
        <v>1790</v>
      </c>
      <c r="R86">
        <v>4.7856000000000005</v>
      </c>
    </row>
    <row r="87" spans="1:18">
      <c r="A87" s="31" t="s">
        <v>1788</v>
      </c>
      <c r="B87" s="155">
        <v>244</v>
      </c>
      <c r="C87" s="156">
        <f t="shared" si="0"/>
        <v>5.6120000000000001</v>
      </c>
      <c r="D87" s="31" t="s">
        <v>1745</v>
      </c>
      <c r="F87" s="31" t="s">
        <v>1834</v>
      </c>
      <c r="G87" s="155">
        <v>138</v>
      </c>
      <c r="H87" s="156">
        <f t="shared" si="1"/>
        <v>3.1739999999999999</v>
      </c>
      <c r="I87" s="31" t="s">
        <v>1749</v>
      </c>
      <c r="L87" t="s">
        <v>1907</v>
      </c>
      <c r="M87" t="s">
        <v>1908</v>
      </c>
      <c r="N87">
        <v>0.85799999999999998</v>
      </c>
      <c r="P87" t="s">
        <v>1797</v>
      </c>
      <c r="Q87" t="s">
        <v>1798</v>
      </c>
      <c r="R87">
        <v>5.0841599999999998</v>
      </c>
    </row>
    <row r="88" spans="1:18">
      <c r="A88" s="31" t="s">
        <v>1755</v>
      </c>
      <c r="B88" s="155">
        <v>344.2</v>
      </c>
      <c r="C88" s="156">
        <f t="shared" si="0"/>
        <v>7.9165999999999999</v>
      </c>
      <c r="D88" s="31" t="s">
        <v>1745</v>
      </c>
      <c r="F88" s="31" t="s">
        <v>1810</v>
      </c>
      <c r="G88" s="155">
        <v>244</v>
      </c>
      <c r="H88" s="156">
        <f t="shared" si="1"/>
        <v>5.6120000000000001</v>
      </c>
      <c r="I88" s="31" t="s">
        <v>1745</v>
      </c>
      <c r="L88" t="s">
        <v>1909</v>
      </c>
      <c r="M88" t="s">
        <v>1910</v>
      </c>
      <c r="N88">
        <v>0.66</v>
      </c>
      <c r="P88" t="s">
        <v>1800</v>
      </c>
      <c r="Q88" t="s">
        <v>1801</v>
      </c>
      <c r="R88">
        <v>5.2960000000000003</v>
      </c>
    </row>
    <row r="89" spans="1:18">
      <c r="A89" s="31" t="s">
        <v>1767</v>
      </c>
      <c r="B89" s="155">
        <v>267.5</v>
      </c>
      <c r="C89" s="156">
        <f t="shared" si="0"/>
        <v>6.1524999999999999</v>
      </c>
      <c r="D89" s="31" t="s">
        <v>1745</v>
      </c>
      <c r="F89" s="31"/>
      <c r="G89" s="155"/>
      <c r="H89" s="628"/>
      <c r="I89" s="31"/>
      <c r="L89" t="s">
        <v>1911</v>
      </c>
      <c r="M89" t="s">
        <v>1912</v>
      </c>
      <c r="N89">
        <v>1.65</v>
      </c>
      <c r="P89" t="s">
        <v>1803</v>
      </c>
      <c r="Q89" t="s">
        <v>1804</v>
      </c>
      <c r="R89">
        <v>3.5748000000000002</v>
      </c>
    </row>
    <row r="90" spans="1:18">
      <c r="A90" s="31" t="s">
        <v>1773</v>
      </c>
      <c r="B90" s="155">
        <v>324.10000000000002</v>
      </c>
      <c r="C90" s="156">
        <f t="shared" si="0"/>
        <v>7.4543000000000008</v>
      </c>
      <c r="D90" s="31" t="s">
        <v>1749</v>
      </c>
      <c r="F90" s="31"/>
      <c r="G90" s="155"/>
      <c r="H90" s="628"/>
      <c r="I90" s="31"/>
      <c r="L90" t="s">
        <v>1913</v>
      </c>
      <c r="M90" t="s">
        <v>1914</v>
      </c>
      <c r="N90">
        <v>1.32</v>
      </c>
      <c r="P90" t="s">
        <v>1806</v>
      </c>
      <c r="Q90" t="s">
        <v>1807</v>
      </c>
      <c r="R90">
        <v>4.9649999999999999</v>
      </c>
    </row>
    <row r="91" spans="1:18">
      <c r="A91" s="31" t="s">
        <v>1785</v>
      </c>
      <c r="B91" s="155">
        <v>219.9</v>
      </c>
      <c r="C91" s="156">
        <f t="shared" si="0"/>
        <v>5.0576999999999996</v>
      </c>
      <c r="D91" s="31" t="s">
        <v>1745</v>
      </c>
      <c r="L91" t="s">
        <v>1915</v>
      </c>
      <c r="M91" t="s">
        <v>1916</v>
      </c>
      <c r="N91">
        <v>0.63690000000000002</v>
      </c>
      <c r="P91" t="s">
        <v>1808</v>
      </c>
      <c r="Q91" t="s">
        <v>1809</v>
      </c>
      <c r="R91">
        <v>3.31</v>
      </c>
    </row>
    <row r="92" spans="1:18">
      <c r="A92" s="31" t="s">
        <v>1782</v>
      </c>
      <c r="B92" s="155">
        <v>127.7</v>
      </c>
      <c r="C92" s="156">
        <f t="shared" si="0"/>
        <v>2.9371</v>
      </c>
      <c r="D92" s="31" t="s">
        <v>1745</v>
      </c>
      <c r="F92" s="1432" t="s">
        <v>1840</v>
      </c>
      <c r="G92" s="1432"/>
      <c r="H92" s="1432"/>
      <c r="I92" s="1432"/>
      <c r="L92" t="s">
        <v>1917</v>
      </c>
      <c r="M92" t="s">
        <v>1918</v>
      </c>
      <c r="N92">
        <v>0.74249999999999994</v>
      </c>
      <c r="P92" t="s">
        <v>1811</v>
      </c>
      <c r="Q92" t="s">
        <v>1812</v>
      </c>
      <c r="R92">
        <v>2.7539199999999999</v>
      </c>
    </row>
    <row r="93" spans="1:18">
      <c r="A93" s="31" t="s">
        <v>1744</v>
      </c>
      <c r="B93" s="155">
        <v>87</v>
      </c>
      <c r="C93" s="156">
        <f t="shared" si="0"/>
        <v>2.0009999999999999</v>
      </c>
      <c r="D93" s="31" t="s">
        <v>1745</v>
      </c>
      <c r="F93" s="153" t="s">
        <v>1741</v>
      </c>
      <c r="G93" s="154" t="s">
        <v>1742</v>
      </c>
      <c r="H93" s="154" t="s">
        <v>612</v>
      </c>
      <c r="I93" s="153" t="s">
        <v>1743</v>
      </c>
      <c r="L93" t="s">
        <v>1919</v>
      </c>
      <c r="M93" t="s">
        <v>1920</v>
      </c>
      <c r="N93">
        <v>1.5794999999999999</v>
      </c>
      <c r="P93" t="s">
        <v>1814</v>
      </c>
      <c r="Q93" t="s">
        <v>1815</v>
      </c>
      <c r="R93">
        <v>3.3100000000000005</v>
      </c>
    </row>
    <row r="94" spans="1:18">
      <c r="A94" s="31" t="s">
        <v>1758</v>
      </c>
      <c r="B94" s="155">
        <v>295</v>
      </c>
      <c r="C94" s="156">
        <f t="shared" si="0"/>
        <v>6.7850000000000001</v>
      </c>
      <c r="D94" s="31" t="s">
        <v>1745</v>
      </c>
      <c r="F94" s="31" t="s">
        <v>1857</v>
      </c>
      <c r="G94" s="155">
        <v>99</v>
      </c>
      <c r="H94" s="156">
        <f t="shared" ref="H94:H99" si="2">G94*0.023</f>
        <v>2.2770000000000001</v>
      </c>
      <c r="I94" s="31" t="s">
        <v>1749</v>
      </c>
      <c r="L94" t="s">
        <v>1922</v>
      </c>
      <c r="M94" t="s">
        <v>1923</v>
      </c>
      <c r="N94">
        <v>0.98999999999999988</v>
      </c>
      <c r="P94" t="s">
        <v>1817</v>
      </c>
      <c r="Q94" t="s">
        <v>1818</v>
      </c>
      <c r="R94">
        <v>1.8867</v>
      </c>
    </row>
    <row r="95" spans="1:18">
      <c r="A95" s="31" t="s">
        <v>1766</v>
      </c>
      <c r="B95" s="155">
        <v>518</v>
      </c>
      <c r="C95" s="156">
        <f t="shared" si="0"/>
        <v>11.914</v>
      </c>
      <c r="D95" s="31" t="s">
        <v>1745</v>
      </c>
      <c r="F95" s="31" t="s">
        <v>1851</v>
      </c>
      <c r="G95" s="155">
        <v>115</v>
      </c>
      <c r="H95" s="156">
        <f t="shared" si="2"/>
        <v>2.645</v>
      </c>
      <c r="I95" s="31" t="s">
        <v>1745</v>
      </c>
      <c r="L95" t="s">
        <v>1924</v>
      </c>
      <c r="M95" t="s">
        <v>1925</v>
      </c>
      <c r="N95">
        <v>1.0125</v>
      </c>
      <c r="P95" t="s">
        <v>1820</v>
      </c>
      <c r="Q95" t="s">
        <v>1821</v>
      </c>
      <c r="R95">
        <v>4.9338880000000005</v>
      </c>
    </row>
    <row r="96" spans="1:18">
      <c r="A96" s="31" t="s">
        <v>1796</v>
      </c>
      <c r="B96" s="155">
        <v>290</v>
      </c>
      <c r="C96" s="156">
        <f t="shared" si="0"/>
        <v>6.67</v>
      </c>
      <c r="D96" s="31" t="s">
        <v>1749</v>
      </c>
      <c r="F96" s="31" t="s">
        <v>1854</v>
      </c>
      <c r="G96" s="155">
        <v>118</v>
      </c>
      <c r="H96" s="156">
        <f t="shared" si="2"/>
        <v>2.714</v>
      </c>
      <c r="I96" s="31" t="s">
        <v>1749</v>
      </c>
      <c r="L96" t="s">
        <v>1926</v>
      </c>
      <c r="M96" t="s">
        <v>1927</v>
      </c>
      <c r="N96">
        <v>1.5179999999999998</v>
      </c>
      <c r="P96" t="s">
        <v>1823</v>
      </c>
      <c r="Q96" t="s">
        <v>1824</v>
      </c>
      <c r="R96">
        <v>5.6322000000000001</v>
      </c>
    </row>
    <row r="97" spans="1:18">
      <c r="A97" s="31" t="s">
        <v>1776</v>
      </c>
      <c r="B97" s="155">
        <v>365.4</v>
      </c>
      <c r="C97" s="156">
        <f t="shared" si="0"/>
        <v>8.4041999999999994</v>
      </c>
      <c r="D97" s="31" t="s">
        <v>1749</v>
      </c>
      <c r="F97" s="31" t="s">
        <v>1844</v>
      </c>
      <c r="G97" s="155">
        <v>176</v>
      </c>
      <c r="H97" s="156">
        <f t="shared" si="2"/>
        <v>4.048</v>
      </c>
      <c r="I97" s="31" t="s">
        <v>1745</v>
      </c>
      <c r="L97" t="s">
        <v>1928</v>
      </c>
      <c r="M97" t="s">
        <v>1929</v>
      </c>
      <c r="N97">
        <v>1.32</v>
      </c>
      <c r="P97" t="s">
        <v>1826</v>
      </c>
      <c r="Q97" t="s">
        <v>1827</v>
      </c>
      <c r="R97">
        <v>0.69510000000000005</v>
      </c>
    </row>
    <row r="98" spans="1:18">
      <c r="A98" s="31" t="s">
        <v>1764</v>
      </c>
      <c r="B98" s="155">
        <v>274.5</v>
      </c>
      <c r="C98" s="156">
        <f t="shared" si="0"/>
        <v>6.3135000000000003</v>
      </c>
      <c r="D98" s="31" t="s">
        <v>1745</v>
      </c>
      <c r="F98" s="31" t="s">
        <v>1847</v>
      </c>
      <c r="G98" s="155">
        <v>176</v>
      </c>
      <c r="H98" s="156">
        <f t="shared" si="2"/>
        <v>4.048</v>
      </c>
      <c r="I98" s="31" t="s">
        <v>1745</v>
      </c>
      <c r="L98" t="s">
        <v>1930</v>
      </c>
      <c r="M98" t="s">
        <v>1931</v>
      </c>
      <c r="N98">
        <v>3.0374999999999996</v>
      </c>
      <c r="P98" t="s">
        <v>1829</v>
      </c>
      <c r="Q98" t="s">
        <v>1830</v>
      </c>
      <c r="R98">
        <v>4.9650000000000007</v>
      </c>
    </row>
    <row r="99" spans="1:18">
      <c r="A99" s="31" t="s">
        <v>1748</v>
      </c>
      <c r="B99" s="155">
        <v>188.3</v>
      </c>
      <c r="C99" s="156">
        <f t="shared" si="0"/>
        <v>4.3308999999999997</v>
      </c>
      <c r="D99" s="31" t="s">
        <v>1749</v>
      </c>
      <c r="F99" s="31" t="s">
        <v>1863</v>
      </c>
      <c r="G99" s="155">
        <v>176</v>
      </c>
      <c r="H99" s="156">
        <f t="shared" si="2"/>
        <v>4.048</v>
      </c>
      <c r="I99" s="31" t="s">
        <v>1745</v>
      </c>
      <c r="L99" t="s">
        <v>1932</v>
      </c>
      <c r="M99" t="s">
        <v>1933</v>
      </c>
      <c r="N99">
        <v>1.3199999999999998</v>
      </c>
      <c r="P99" t="s">
        <v>1832</v>
      </c>
      <c r="Q99" t="s">
        <v>1833</v>
      </c>
      <c r="R99">
        <v>3.972</v>
      </c>
    </row>
    <row r="100" spans="1:18">
      <c r="A100" s="31" t="s">
        <v>1799</v>
      </c>
      <c r="B100" s="155">
        <v>150.9</v>
      </c>
      <c r="C100" s="156">
        <f t="shared" si="0"/>
        <v>3.4706999999999999</v>
      </c>
      <c r="D100" s="31" t="s">
        <v>1749</v>
      </c>
      <c r="L100" t="s">
        <v>1934</v>
      </c>
      <c r="M100" t="s">
        <v>1935</v>
      </c>
      <c r="N100">
        <v>0.74249999999999994</v>
      </c>
      <c r="P100" t="s">
        <v>1835</v>
      </c>
      <c r="Q100" t="s">
        <v>1836</v>
      </c>
      <c r="R100">
        <v>2.2243200000000001</v>
      </c>
    </row>
    <row r="101" spans="1:18">
      <c r="A101" s="31" t="s">
        <v>1761</v>
      </c>
      <c r="B101" s="155">
        <v>400</v>
      </c>
      <c r="C101" s="156">
        <f t="shared" si="0"/>
        <v>9.1999999999999993</v>
      </c>
      <c r="D101" s="31" t="s">
        <v>1745</v>
      </c>
      <c r="H101" s="628"/>
      <c r="L101" t="s">
        <v>1936</v>
      </c>
      <c r="M101" t="s">
        <v>1937</v>
      </c>
      <c r="N101">
        <v>1.5674999999999999</v>
      </c>
      <c r="P101" t="s">
        <v>1838</v>
      </c>
      <c r="Q101" t="s">
        <v>1839</v>
      </c>
      <c r="R101">
        <v>1.107</v>
      </c>
    </row>
    <row r="102" spans="1:18">
      <c r="A102" s="31" t="s">
        <v>1770</v>
      </c>
      <c r="B102" s="155">
        <v>454</v>
      </c>
      <c r="C102" s="156">
        <f t="shared" si="0"/>
        <v>10.442</v>
      </c>
      <c r="D102" s="31" t="s">
        <v>1745</v>
      </c>
      <c r="L102" t="s">
        <v>1938</v>
      </c>
      <c r="M102" t="s">
        <v>1939</v>
      </c>
      <c r="N102">
        <v>0.82499999999999996</v>
      </c>
      <c r="P102" t="s">
        <v>1841</v>
      </c>
      <c r="Q102" t="s">
        <v>1787</v>
      </c>
      <c r="R102">
        <v>2.2110799999999999</v>
      </c>
    </row>
    <row r="103" spans="1:18">
      <c r="A103" s="31" t="s">
        <v>1779</v>
      </c>
      <c r="B103" s="155">
        <v>289.7</v>
      </c>
      <c r="C103" s="156">
        <f t="shared" si="0"/>
        <v>6.6631</v>
      </c>
      <c r="D103" s="31" t="s">
        <v>1745</v>
      </c>
      <c r="F103" s="15"/>
      <c r="G103" s="82" t="s">
        <v>431</v>
      </c>
      <c r="H103" s="82" t="s">
        <v>996</v>
      </c>
      <c r="I103" s="84" t="s">
        <v>433</v>
      </c>
      <c r="L103" t="s">
        <v>1940</v>
      </c>
      <c r="M103" t="s">
        <v>1941</v>
      </c>
      <c r="N103">
        <v>0.91874999999999996</v>
      </c>
      <c r="P103" t="s">
        <v>1842</v>
      </c>
      <c r="Q103" t="s">
        <v>1843</v>
      </c>
      <c r="R103">
        <v>4.0712000000000002</v>
      </c>
    </row>
    <row r="104" spans="1:18">
      <c r="A104" s="31" t="s">
        <v>1802</v>
      </c>
      <c r="B104" s="155">
        <v>201</v>
      </c>
      <c r="C104" s="156">
        <f t="shared" si="0"/>
        <v>4.6230000000000002</v>
      </c>
      <c r="D104" s="31" t="s">
        <v>1745</v>
      </c>
      <c r="F104" s="629" t="s">
        <v>2484</v>
      </c>
      <c r="G104" s="630">
        <f>AVERAGE(C78:C106)</f>
        <v>6.3605310344827597</v>
      </c>
      <c r="H104" s="630">
        <f>AVERAGE(H78:H88)</f>
        <v>6.9733909090909094</v>
      </c>
      <c r="I104" s="206">
        <f>AVERAGE(H94:H99)</f>
        <v>3.2966666666666669</v>
      </c>
      <c r="L104" t="s">
        <v>1942</v>
      </c>
      <c r="M104" t="s">
        <v>1943</v>
      </c>
      <c r="N104">
        <v>0.98999999999999988</v>
      </c>
      <c r="P104" t="s">
        <v>1845</v>
      </c>
      <c r="Q104" t="s">
        <v>1846</v>
      </c>
      <c r="R104">
        <v>0.82750000000000001</v>
      </c>
    </row>
    <row r="105" spans="1:18">
      <c r="A105" s="31" t="s">
        <v>1752</v>
      </c>
      <c r="B105" s="155">
        <v>433.6</v>
      </c>
      <c r="C105" s="156">
        <f t="shared" si="0"/>
        <v>9.9728000000000012</v>
      </c>
      <c r="D105" s="31" t="s">
        <v>1745</v>
      </c>
      <c r="L105" t="s">
        <v>124</v>
      </c>
      <c r="M105" t="s">
        <v>1944</v>
      </c>
      <c r="N105">
        <v>0.44022000000000006</v>
      </c>
      <c r="P105" t="s">
        <v>1848</v>
      </c>
      <c r="Q105" t="s">
        <v>1849</v>
      </c>
      <c r="R105">
        <v>3.96</v>
      </c>
    </row>
    <row r="106" spans="1:18">
      <c r="A106" s="31" t="s">
        <v>1791</v>
      </c>
      <c r="B106" s="155">
        <v>275.8</v>
      </c>
      <c r="C106" s="156">
        <f t="shared" si="0"/>
        <v>6.3433999999999999</v>
      </c>
      <c r="D106" s="31" t="s">
        <v>1749</v>
      </c>
      <c r="L106" t="s">
        <v>1945</v>
      </c>
      <c r="M106" t="s">
        <v>1946</v>
      </c>
      <c r="N106">
        <v>1.1022000000000001</v>
      </c>
      <c r="P106" t="s">
        <v>1852</v>
      </c>
      <c r="Q106" t="s">
        <v>1853</v>
      </c>
      <c r="R106">
        <v>3.9577999999999998</v>
      </c>
    </row>
    <row r="107" spans="1:18">
      <c r="L107" t="s">
        <v>1947</v>
      </c>
      <c r="M107" t="s">
        <v>1948</v>
      </c>
      <c r="N107">
        <v>2.0625</v>
      </c>
      <c r="P107" t="s">
        <v>1855</v>
      </c>
      <c r="Q107" t="s">
        <v>1856</v>
      </c>
      <c r="R107">
        <v>0.33100000000000002</v>
      </c>
    </row>
    <row r="108" spans="1:18">
      <c r="L108" t="s">
        <v>1949</v>
      </c>
      <c r="M108" t="s">
        <v>1950</v>
      </c>
      <c r="N108">
        <v>0.83730000000000004</v>
      </c>
      <c r="P108" t="s">
        <v>1858</v>
      </c>
      <c r="Q108" t="s">
        <v>1859</v>
      </c>
      <c r="R108">
        <v>3.972</v>
      </c>
    </row>
    <row r="109" spans="1:18">
      <c r="L109" t="s">
        <v>125</v>
      </c>
      <c r="M109" t="s">
        <v>1951</v>
      </c>
      <c r="N109">
        <v>0.627</v>
      </c>
      <c r="P109" t="s">
        <v>1861</v>
      </c>
      <c r="Q109" t="s">
        <v>1862</v>
      </c>
      <c r="R109">
        <v>4.7664</v>
      </c>
    </row>
    <row r="110" spans="1:18">
      <c r="P110" t="s">
        <v>1864</v>
      </c>
      <c r="Q110" t="s">
        <v>1865</v>
      </c>
      <c r="R110">
        <v>0.40381999999999996</v>
      </c>
    </row>
    <row r="111" spans="1:18">
      <c r="L111" s="845" t="s">
        <v>996</v>
      </c>
      <c r="M111" s="845"/>
      <c r="N111" s="845"/>
      <c r="P111" t="s">
        <v>1866</v>
      </c>
      <c r="Q111" t="s">
        <v>1867</v>
      </c>
      <c r="R111">
        <v>3.4331320000000001</v>
      </c>
    </row>
    <row r="112" spans="1:18" ht="29">
      <c r="L112" s="1" t="s">
        <v>1738</v>
      </c>
      <c r="M112" s="1" t="s">
        <v>1739</v>
      </c>
      <c r="N112" s="1156" t="s">
        <v>2563</v>
      </c>
      <c r="P112" t="s">
        <v>1871</v>
      </c>
      <c r="Q112" t="s">
        <v>1872</v>
      </c>
      <c r="R112">
        <v>0.46340000000000003</v>
      </c>
    </row>
    <row r="113" spans="1:18">
      <c r="L113" t="s">
        <v>1952</v>
      </c>
      <c r="M113" t="s">
        <v>1953</v>
      </c>
      <c r="N113">
        <v>1.0454999999999999</v>
      </c>
      <c r="P113" t="s">
        <v>1873</v>
      </c>
      <c r="Q113" t="s">
        <v>1874</v>
      </c>
      <c r="R113">
        <v>0.68937500000000007</v>
      </c>
    </row>
    <row r="114" spans="1:18">
      <c r="L114" t="s">
        <v>1954</v>
      </c>
      <c r="M114" t="s">
        <v>1955</v>
      </c>
      <c r="N114">
        <v>0.34850000000000003</v>
      </c>
      <c r="P114" t="s">
        <v>1876</v>
      </c>
      <c r="Q114" t="s">
        <v>1877</v>
      </c>
      <c r="R114">
        <v>2.2199999999999998</v>
      </c>
    </row>
    <row r="115" spans="1:18">
      <c r="L115" t="s">
        <v>117</v>
      </c>
      <c r="M115" t="s">
        <v>1956</v>
      </c>
      <c r="N115">
        <v>1.6727999999999998</v>
      </c>
      <c r="P115" t="s">
        <v>1878</v>
      </c>
      <c r="Q115" t="s">
        <v>1879</v>
      </c>
      <c r="R115">
        <v>0.33100000000000002</v>
      </c>
    </row>
    <row r="116" spans="1:18">
      <c r="L116" t="s">
        <v>118</v>
      </c>
      <c r="M116" t="s">
        <v>1957</v>
      </c>
      <c r="N116">
        <v>0.34850000000000003</v>
      </c>
      <c r="P116" t="s">
        <v>1880</v>
      </c>
      <c r="Q116" t="s">
        <v>1881</v>
      </c>
      <c r="R116">
        <v>1.8206986000000001</v>
      </c>
    </row>
    <row r="117" spans="1:18">
      <c r="L117" t="s">
        <v>1958</v>
      </c>
      <c r="M117" t="s">
        <v>1959</v>
      </c>
      <c r="N117">
        <v>0.34850000000000003</v>
      </c>
      <c r="P117" t="s">
        <v>1882</v>
      </c>
      <c r="Q117" t="s">
        <v>1784</v>
      </c>
      <c r="R117">
        <v>3.7547999999999999</v>
      </c>
    </row>
    <row r="118" spans="1:18" ht="15" thickBot="1">
      <c r="P118" t="s">
        <v>1884</v>
      </c>
      <c r="Q118" t="s">
        <v>1885</v>
      </c>
      <c r="R118">
        <v>2.4824999999999999</v>
      </c>
    </row>
    <row r="119" spans="1:18" ht="15" thickBot="1">
      <c r="A119" s="1416" t="s">
        <v>2485</v>
      </c>
      <c r="B119" s="1417"/>
      <c r="C119" s="1417"/>
      <c r="D119" s="1417"/>
      <c r="E119" s="1417"/>
      <c r="F119" s="1417"/>
      <c r="G119" s="1417"/>
      <c r="H119" s="1417"/>
      <c r="I119" s="1418"/>
      <c r="P119" t="s">
        <v>1886</v>
      </c>
      <c r="Q119" t="s">
        <v>1887</v>
      </c>
      <c r="R119">
        <v>3.0121000000000002</v>
      </c>
    </row>
    <row r="120" spans="1:18">
      <c r="P120" t="s">
        <v>1888</v>
      </c>
      <c r="Q120" t="s">
        <v>1889</v>
      </c>
      <c r="R120">
        <v>3.31</v>
      </c>
    </row>
    <row r="121" spans="1:18">
      <c r="A121" s="59" t="s">
        <v>2486</v>
      </c>
      <c r="B121" s="1" t="s">
        <v>797</v>
      </c>
      <c r="C121" s="1" t="s">
        <v>19</v>
      </c>
      <c r="D121" s="1" t="s">
        <v>1636</v>
      </c>
      <c r="P121" t="s">
        <v>1890</v>
      </c>
      <c r="Q121" t="s">
        <v>1891</v>
      </c>
      <c r="R121">
        <v>0.66200000000000003</v>
      </c>
    </row>
    <row r="122" spans="1:18">
      <c r="A122" s="64" t="s">
        <v>1575</v>
      </c>
      <c r="B122" s="64">
        <v>0.54165273599999997</v>
      </c>
      <c r="C122" s="64" t="s">
        <v>1639</v>
      </c>
      <c r="D122" s="64" t="s">
        <v>1640</v>
      </c>
      <c r="P122" t="s">
        <v>1892</v>
      </c>
      <c r="Q122" t="s">
        <v>1784</v>
      </c>
      <c r="R122">
        <v>3.7547999999999999</v>
      </c>
    </row>
    <row r="123" spans="1:18">
      <c r="A123" s="64" t="s">
        <v>1875</v>
      </c>
      <c r="B123" s="64">
        <v>0.6322077599999999</v>
      </c>
      <c r="C123" s="64" t="s">
        <v>1639</v>
      </c>
      <c r="D123" s="64" t="s">
        <v>1640</v>
      </c>
      <c r="P123" t="s">
        <v>1894</v>
      </c>
      <c r="Q123" t="s">
        <v>1895</v>
      </c>
      <c r="R123">
        <v>0.33100000000000002</v>
      </c>
    </row>
    <row r="124" spans="1:18">
      <c r="A124" s="64" t="s">
        <v>253</v>
      </c>
      <c r="B124" s="64">
        <v>0.66969657599999999</v>
      </c>
      <c r="C124" s="64" t="s">
        <v>1639</v>
      </c>
      <c r="D124" s="64" t="s">
        <v>1640</v>
      </c>
      <c r="P124" t="s">
        <v>1896</v>
      </c>
      <c r="Q124" t="s">
        <v>1897</v>
      </c>
      <c r="R124">
        <v>3.31</v>
      </c>
    </row>
    <row r="125" spans="1:18">
      <c r="A125" s="64" t="s">
        <v>134</v>
      </c>
      <c r="B125" s="64">
        <v>0.57241513199999994</v>
      </c>
      <c r="C125" s="64" t="s">
        <v>1639</v>
      </c>
      <c r="D125" s="64" t="s">
        <v>1640</v>
      </c>
      <c r="P125" t="s">
        <v>1899</v>
      </c>
      <c r="Q125" t="s">
        <v>1900</v>
      </c>
      <c r="R125">
        <v>0.82750000000000012</v>
      </c>
    </row>
    <row r="126" spans="1:18">
      <c r="A126" s="64" t="s">
        <v>644</v>
      </c>
      <c r="B126" s="64">
        <v>0.65394545999999998</v>
      </c>
      <c r="C126" s="64" t="s">
        <v>1639</v>
      </c>
      <c r="D126" s="64" t="s">
        <v>1640</v>
      </c>
      <c r="P126" t="s">
        <v>1902</v>
      </c>
      <c r="Q126" t="s">
        <v>1903</v>
      </c>
      <c r="R126">
        <v>3.31</v>
      </c>
    </row>
    <row r="127" spans="1:18">
      <c r="A127" s="64" t="s">
        <v>1883</v>
      </c>
      <c r="B127" s="64">
        <v>0.61398353279999995</v>
      </c>
      <c r="C127" s="64" t="s">
        <v>1639</v>
      </c>
      <c r="D127" s="64" t="s">
        <v>1640</v>
      </c>
    </row>
    <row r="128" spans="1:18">
      <c r="A128" s="64" t="s">
        <v>984</v>
      </c>
      <c r="B128" s="64">
        <v>0.366094368</v>
      </c>
      <c r="C128" s="64" t="s">
        <v>1639</v>
      </c>
      <c r="D128" s="64" t="s">
        <v>1640</v>
      </c>
    </row>
    <row r="129" spans="1:4">
      <c r="A129" s="64" t="s">
        <v>1148</v>
      </c>
      <c r="B129" s="64">
        <v>0.56937987599999995</v>
      </c>
      <c r="C129" s="64" t="s">
        <v>1639</v>
      </c>
      <c r="D129" s="64" t="s">
        <v>1640</v>
      </c>
    </row>
    <row r="130" spans="1:4">
      <c r="A130" s="64" t="s">
        <v>983</v>
      </c>
      <c r="B130" s="64">
        <v>0.41451062399999999</v>
      </c>
      <c r="C130" s="64" t="s">
        <v>1639</v>
      </c>
      <c r="D130" s="64" t="s">
        <v>1640</v>
      </c>
    </row>
    <row r="131" spans="1:4">
      <c r="A131" s="64" t="s">
        <v>282</v>
      </c>
      <c r="B131" s="64">
        <v>0.80751429600000002</v>
      </c>
      <c r="C131" s="64" t="s">
        <v>1639</v>
      </c>
      <c r="D131" s="64" t="s">
        <v>1640</v>
      </c>
    </row>
    <row r="132" spans="1:4">
      <c r="A132" s="64" t="s">
        <v>1893</v>
      </c>
      <c r="B132" s="64">
        <v>0.53937479099999996</v>
      </c>
      <c r="C132" s="64" t="s">
        <v>1639</v>
      </c>
      <c r="D132" s="64" t="s">
        <v>1640</v>
      </c>
    </row>
    <row r="133" spans="1:4">
      <c r="A133" s="64" t="s">
        <v>1578</v>
      </c>
      <c r="B133" s="64">
        <v>1.57614444</v>
      </c>
      <c r="C133" s="64" t="s">
        <v>1639</v>
      </c>
      <c r="D133" s="64" t="s">
        <v>1640</v>
      </c>
    </row>
    <row r="134" spans="1:4">
      <c r="A134" s="64" t="s">
        <v>1898</v>
      </c>
      <c r="B134" s="64">
        <v>1.3099703999999999</v>
      </c>
      <c r="C134" s="64" t="s">
        <v>1639</v>
      </c>
      <c r="D134" s="64" t="s">
        <v>1640</v>
      </c>
    </row>
    <row r="135" spans="1:4">
      <c r="A135" s="64" t="s">
        <v>1901</v>
      </c>
      <c r="B135" s="64">
        <v>1.2384956399999998</v>
      </c>
      <c r="C135" s="64" t="s">
        <v>1639</v>
      </c>
      <c r="D135" s="64" t="s">
        <v>1640</v>
      </c>
    </row>
    <row r="136" spans="1:4">
      <c r="A136" s="64" t="s">
        <v>1904</v>
      </c>
      <c r="B136" s="64">
        <v>0.53081258399999998</v>
      </c>
      <c r="C136" s="64" t="s">
        <v>1639</v>
      </c>
      <c r="D136" s="64" t="s">
        <v>1640</v>
      </c>
    </row>
    <row r="137" spans="1:4">
      <c r="A137" s="328"/>
      <c r="B137" s="330"/>
      <c r="C137" s="328"/>
      <c r="D137" s="329"/>
    </row>
    <row r="138" spans="1:4">
      <c r="A138" s="328"/>
      <c r="B138" s="330"/>
      <c r="C138" s="328"/>
      <c r="D138" s="329"/>
    </row>
    <row r="139" spans="1:4">
      <c r="A139" s="328"/>
      <c r="B139" s="328"/>
      <c r="C139" s="328"/>
      <c r="D139" s="329"/>
    </row>
    <row r="140" spans="1:4">
      <c r="A140" s="328"/>
      <c r="B140" s="328"/>
      <c r="C140" s="328"/>
      <c r="D140" s="329"/>
    </row>
  </sheetData>
  <sheetProtection insertColumns="0" insertRows="0" selectLockedCells="1" selectUnlockedCells="1"/>
  <mergeCells count="6">
    <mergeCell ref="A119:I119"/>
    <mergeCell ref="A2:I2"/>
    <mergeCell ref="A76:D76"/>
    <mergeCell ref="F76:I76"/>
    <mergeCell ref="F92:I92"/>
    <mergeCell ref="A73:R7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00500-CDAF-463E-85FF-7832F0B32C95}">
  <dimension ref="A1:AC111"/>
  <sheetViews>
    <sheetView workbookViewId="0">
      <selection activeCell="N32" sqref="N32"/>
    </sheetView>
  </sheetViews>
  <sheetFormatPr defaultColWidth="8.81640625" defaultRowHeight="14.5"/>
  <cols>
    <col min="1" max="1" width="27" customWidth="1"/>
    <col min="2" max="2" width="25.54296875" customWidth="1"/>
    <col min="3" max="3" width="17.54296875" customWidth="1"/>
    <col min="4" max="4" width="17.453125" customWidth="1"/>
    <col min="5" max="5" width="12.81640625" customWidth="1"/>
    <col min="6" max="6" width="15.453125" bestFit="1" customWidth="1"/>
    <col min="7" max="11" width="13.453125" bestFit="1" customWidth="1"/>
    <col min="12" max="12" width="14.453125" bestFit="1" customWidth="1"/>
    <col min="13" max="18" width="13.453125" bestFit="1" customWidth="1"/>
    <col min="19" max="19" width="14.453125" bestFit="1" customWidth="1"/>
    <col min="20" max="29" width="13.453125" bestFit="1" customWidth="1"/>
  </cols>
  <sheetData>
    <row r="1" spans="1:22">
      <c r="A1" s="1416" t="s">
        <v>256</v>
      </c>
      <c r="B1" s="1417"/>
      <c r="C1" s="1417"/>
      <c r="D1" s="1417"/>
      <c r="E1" s="1417"/>
      <c r="F1" s="1417"/>
      <c r="G1" s="1417"/>
      <c r="H1" s="1417"/>
      <c r="I1" s="1417"/>
      <c r="J1" s="1417"/>
      <c r="K1" s="1417"/>
      <c r="L1" s="1417"/>
      <c r="M1" s="1417"/>
      <c r="N1" s="1417"/>
      <c r="O1" s="1417"/>
      <c r="P1" s="1417"/>
      <c r="Q1" s="1417"/>
      <c r="R1" s="1417"/>
      <c r="S1" s="1417"/>
      <c r="T1" s="1417"/>
      <c r="U1" s="1417"/>
      <c r="V1" s="1418"/>
    </row>
    <row r="3" spans="1:22">
      <c r="A3" s="152" t="s">
        <v>411</v>
      </c>
      <c r="B3" s="152" t="s">
        <v>222</v>
      </c>
      <c r="C3" s="152" t="s">
        <v>797</v>
      </c>
      <c r="D3" s="152" t="s">
        <v>19</v>
      </c>
      <c r="E3" s="152" t="s">
        <v>1636</v>
      </c>
    </row>
    <row r="4" spans="1:22">
      <c r="A4" t="s">
        <v>1637</v>
      </c>
      <c r="B4" t="s">
        <v>1638</v>
      </c>
      <c r="C4">
        <v>5.3455126999999996</v>
      </c>
      <c r="D4" t="s">
        <v>1639</v>
      </c>
      <c r="E4" t="s">
        <v>1640</v>
      </c>
    </row>
    <row r="5" spans="1:22">
      <c r="A5" t="s">
        <v>1637</v>
      </c>
      <c r="B5" t="s">
        <v>2507</v>
      </c>
      <c r="C5">
        <v>5.4119919000000003</v>
      </c>
      <c r="D5" t="s">
        <v>1639</v>
      </c>
      <c r="E5" t="s">
        <v>1640</v>
      </c>
    </row>
    <row r="6" spans="1:22">
      <c r="A6" t="s">
        <v>1637</v>
      </c>
      <c r="B6" t="s">
        <v>257</v>
      </c>
      <c r="C6">
        <v>3.0470106000000001</v>
      </c>
      <c r="D6" t="s">
        <v>1639</v>
      </c>
      <c r="E6" t="s">
        <v>1640</v>
      </c>
    </row>
    <row r="7" spans="1:22">
      <c r="A7" t="s">
        <v>1637</v>
      </c>
      <c r="B7" t="s">
        <v>2508</v>
      </c>
      <c r="C7">
        <v>12.29477</v>
      </c>
      <c r="D7" t="s">
        <v>1639</v>
      </c>
      <c r="E7" t="s">
        <v>1640</v>
      </c>
    </row>
    <row r="8" spans="1:22">
      <c r="A8" t="s">
        <v>1637</v>
      </c>
      <c r="B8" t="s">
        <v>2509</v>
      </c>
      <c r="C8">
        <v>8.0630068999999995</v>
      </c>
      <c r="D8" t="s">
        <v>1639</v>
      </c>
      <c r="E8" t="s">
        <v>1640</v>
      </c>
    </row>
    <row r="9" spans="1:22">
      <c r="A9" t="s">
        <v>1637</v>
      </c>
      <c r="B9" t="s">
        <v>346</v>
      </c>
      <c r="C9">
        <v>1.2646564</v>
      </c>
      <c r="D9" t="s">
        <v>1639</v>
      </c>
      <c r="E9" t="s">
        <v>1640</v>
      </c>
    </row>
    <row r="10" spans="1:22">
      <c r="A10" t="s">
        <v>1637</v>
      </c>
      <c r="B10" t="s">
        <v>347</v>
      </c>
      <c r="C10">
        <v>10.569362</v>
      </c>
      <c r="D10" t="s">
        <v>1639</v>
      </c>
      <c r="E10" t="s">
        <v>1640</v>
      </c>
    </row>
    <row r="11" spans="1:22">
      <c r="A11" t="s">
        <v>1637</v>
      </c>
      <c r="B11" t="s">
        <v>345</v>
      </c>
      <c r="C11">
        <v>4.1830679999999996</v>
      </c>
      <c r="D11" t="s">
        <v>1639</v>
      </c>
      <c r="E11" t="s">
        <v>1640</v>
      </c>
    </row>
    <row r="12" spans="1:22">
      <c r="A12" t="s">
        <v>1637</v>
      </c>
      <c r="B12" t="s">
        <v>330</v>
      </c>
      <c r="C12">
        <v>5.0980273</v>
      </c>
      <c r="D12" t="s">
        <v>1639</v>
      </c>
      <c r="E12" t="s">
        <v>1640</v>
      </c>
    </row>
    <row r="13" spans="1:22">
      <c r="A13" t="s">
        <v>1637</v>
      </c>
      <c r="B13" t="s">
        <v>348</v>
      </c>
      <c r="C13">
        <f>AVERAGE(C4:C12)</f>
        <v>6.1419339777777777</v>
      </c>
      <c r="D13" t="s">
        <v>1639</v>
      </c>
      <c r="E13" t="s">
        <v>1640</v>
      </c>
    </row>
    <row r="14" spans="1:22">
      <c r="A14" t="s">
        <v>2511</v>
      </c>
      <c r="B14" t="s">
        <v>1642</v>
      </c>
      <c r="C14">
        <v>0.27015206000000003</v>
      </c>
      <c r="D14" t="s">
        <v>1639</v>
      </c>
      <c r="E14" t="s">
        <v>1641</v>
      </c>
    </row>
    <row r="15" spans="1:22">
      <c r="A15" t="s">
        <v>2511</v>
      </c>
      <c r="B15" t="s">
        <v>358</v>
      </c>
      <c r="C15">
        <v>0.44534692545648202</v>
      </c>
      <c r="D15" t="s">
        <v>1639</v>
      </c>
      <c r="E15" t="s">
        <v>1641</v>
      </c>
    </row>
    <row r="16" spans="1:22">
      <c r="A16" t="s">
        <v>2511</v>
      </c>
      <c r="B16" t="s">
        <v>2510</v>
      </c>
      <c r="C16">
        <v>2.0728802000000002</v>
      </c>
      <c r="D16" t="s">
        <v>1639</v>
      </c>
      <c r="E16" t="s">
        <v>1640</v>
      </c>
    </row>
    <row r="17" spans="1:5">
      <c r="A17" t="s">
        <v>2511</v>
      </c>
      <c r="B17" t="s">
        <v>2512</v>
      </c>
      <c r="C17">
        <v>14.523875</v>
      </c>
      <c r="D17" t="s">
        <v>1639</v>
      </c>
      <c r="E17" t="s">
        <v>1640</v>
      </c>
    </row>
    <row r="18" spans="1:5">
      <c r="A18" t="s">
        <v>2511</v>
      </c>
      <c r="B18" t="s">
        <v>1652</v>
      </c>
      <c r="C18">
        <v>1.9848281000000001</v>
      </c>
      <c r="D18" t="s">
        <v>1639</v>
      </c>
      <c r="E18" t="s">
        <v>1640</v>
      </c>
    </row>
    <row r="19" spans="1:5">
      <c r="A19" t="s">
        <v>1643</v>
      </c>
      <c r="B19" t="s">
        <v>1644</v>
      </c>
      <c r="C19">
        <v>0.18757277999999999</v>
      </c>
      <c r="D19" t="s">
        <v>1639</v>
      </c>
      <c r="E19" t="s">
        <v>1640</v>
      </c>
    </row>
    <row r="20" spans="1:5">
      <c r="A20" t="s">
        <v>1643</v>
      </c>
      <c r="B20" t="s">
        <v>349</v>
      </c>
      <c r="C20">
        <v>7.9598433999999996E-2</v>
      </c>
      <c r="D20" t="s">
        <v>1639</v>
      </c>
      <c r="E20" t="s">
        <v>1640</v>
      </c>
    </row>
    <row r="21" spans="1:5">
      <c r="A21" t="s">
        <v>1643</v>
      </c>
      <c r="B21" t="s">
        <v>1645</v>
      </c>
      <c r="C21">
        <v>4.2702263999999997E-2</v>
      </c>
      <c r="D21" t="s">
        <v>1639</v>
      </c>
      <c r="E21" t="s">
        <v>1640</v>
      </c>
    </row>
    <row r="22" spans="1:5">
      <c r="A22" t="s">
        <v>1643</v>
      </c>
      <c r="B22" t="s">
        <v>1646</v>
      </c>
      <c r="C22">
        <v>1.1472747000000001</v>
      </c>
      <c r="D22" t="s">
        <v>1639</v>
      </c>
      <c r="E22" t="s">
        <v>1640</v>
      </c>
    </row>
    <row r="23" spans="1:5">
      <c r="A23" t="s">
        <v>1643</v>
      </c>
      <c r="B23" t="s">
        <v>1647</v>
      </c>
      <c r="C23">
        <v>1.2151468000000001</v>
      </c>
      <c r="D23" t="s">
        <v>1639</v>
      </c>
      <c r="E23" t="s">
        <v>1640</v>
      </c>
    </row>
    <row r="24" spans="1:5">
      <c r="A24" t="s">
        <v>1643</v>
      </c>
      <c r="B24" t="s">
        <v>1648</v>
      </c>
      <c r="C24">
        <v>1.1195717000000001</v>
      </c>
      <c r="D24" t="s">
        <v>1639</v>
      </c>
      <c r="E24" t="s">
        <v>1640</v>
      </c>
    </row>
    <row r="25" spans="1:5">
      <c r="A25" t="s">
        <v>1643</v>
      </c>
      <c r="B25" t="s">
        <v>1649</v>
      </c>
      <c r="C25">
        <v>0.11030962</v>
      </c>
      <c r="D25" t="s">
        <v>1639</v>
      </c>
      <c r="E25" t="s">
        <v>1640</v>
      </c>
    </row>
    <row r="26" spans="1:5">
      <c r="A26" t="s">
        <v>1643</v>
      </c>
      <c r="B26" t="s">
        <v>1650</v>
      </c>
      <c r="C26">
        <v>3.7388629999999998</v>
      </c>
      <c r="D26" t="s">
        <v>1639</v>
      </c>
      <c r="E26" t="s">
        <v>1640</v>
      </c>
    </row>
    <row r="27" spans="1:5">
      <c r="A27" t="s">
        <v>1643</v>
      </c>
      <c r="B27" t="s">
        <v>1651</v>
      </c>
      <c r="C27">
        <v>0.75524420000000003</v>
      </c>
      <c r="D27" t="s">
        <v>1639</v>
      </c>
      <c r="E27" t="s">
        <v>1640</v>
      </c>
    </row>
    <row r="28" spans="1:5">
      <c r="A28" t="s">
        <v>1643</v>
      </c>
      <c r="B28" t="s">
        <v>2513</v>
      </c>
      <c r="C28">
        <v>3.3375569000000001E-2</v>
      </c>
      <c r="D28" t="s">
        <v>1639</v>
      </c>
      <c r="E28" t="s">
        <v>1640</v>
      </c>
    </row>
    <row r="29" spans="1:5">
      <c r="A29" t="s">
        <v>1653</v>
      </c>
      <c r="B29" t="s">
        <v>2514</v>
      </c>
      <c r="C29">
        <v>3.1071401000000001</v>
      </c>
      <c r="D29" t="s">
        <v>1639</v>
      </c>
      <c r="E29" t="s">
        <v>1640</v>
      </c>
    </row>
    <row r="30" spans="1:5">
      <c r="A30" t="s">
        <v>1654</v>
      </c>
      <c r="B30" t="s">
        <v>1655</v>
      </c>
      <c r="C30">
        <v>0.33194527000000001</v>
      </c>
      <c r="D30" t="s">
        <v>1639</v>
      </c>
      <c r="E30" t="s">
        <v>1640</v>
      </c>
    </row>
    <row r="31" spans="1:5">
      <c r="A31" t="s">
        <v>1654</v>
      </c>
      <c r="B31" t="s">
        <v>1656</v>
      </c>
      <c r="C31">
        <v>2.6140936922065201</v>
      </c>
      <c r="D31" t="s">
        <v>1639</v>
      </c>
      <c r="E31" t="s">
        <v>1641</v>
      </c>
    </row>
    <row r="32" spans="1:5">
      <c r="A32" t="s">
        <v>2569</v>
      </c>
      <c r="B32" t="s">
        <v>2565</v>
      </c>
      <c r="C32">
        <v>1.9100685666666666</v>
      </c>
      <c r="D32" t="s">
        <v>1639</v>
      </c>
      <c r="E32" t="s">
        <v>1640</v>
      </c>
    </row>
    <row r="33" spans="1:29">
      <c r="A33" t="s">
        <v>2569</v>
      </c>
      <c r="B33" t="s">
        <v>2566</v>
      </c>
      <c r="C33">
        <v>0.39038434999999999</v>
      </c>
      <c r="D33" t="s">
        <v>1639</v>
      </c>
      <c r="E33" t="s">
        <v>1640</v>
      </c>
    </row>
    <row r="34" spans="1:29">
      <c r="A34" t="s">
        <v>2569</v>
      </c>
      <c r="B34" t="s">
        <v>2567</v>
      </c>
      <c r="C34">
        <v>0.44613281999999999</v>
      </c>
      <c r="D34" t="s">
        <v>1639</v>
      </c>
      <c r="E34" t="s">
        <v>1640</v>
      </c>
    </row>
    <row r="35" spans="1:29">
      <c r="A35" t="s">
        <v>2569</v>
      </c>
      <c r="B35" t="s">
        <v>2568</v>
      </c>
      <c r="C35">
        <v>0.60494694999999998</v>
      </c>
      <c r="D35" t="s">
        <v>1639</v>
      </c>
      <c r="E35" t="s">
        <v>1640</v>
      </c>
    </row>
    <row r="36" spans="1:29">
      <c r="A36" t="s">
        <v>2569</v>
      </c>
      <c r="B36" t="s">
        <v>2572</v>
      </c>
      <c r="C36">
        <v>0.79715734000000005</v>
      </c>
      <c r="D36" t="s">
        <v>1639</v>
      </c>
      <c r="E36" t="s">
        <v>1640</v>
      </c>
    </row>
    <row r="37" spans="1:29" ht="15" thickBot="1"/>
    <row r="38" spans="1:29">
      <c r="A38" s="1416" t="s">
        <v>2487</v>
      </c>
      <c r="B38" s="1417"/>
      <c r="C38" s="1417"/>
      <c r="D38" s="1417"/>
      <c r="E38" s="1417"/>
      <c r="F38" s="1417"/>
      <c r="G38" s="1417"/>
      <c r="H38" s="1417"/>
      <c r="I38" s="1417"/>
      <c r="J38" s="1417"/>
      <c r="K38" s="1417"/>
      <c r="L38" s="1417"/>
      <c r="M38" s="1417"/>
      <c r="N38" s="1417"/>
      <c r="O38" s="1417"/>
      <c r="P38" s="1417"/>
      <c r="Q38" s="1417"/>
      <c r="R38" s="1417"/>
      <c r="S38" s="1417"/>
      <c r="T38" s="1417"/>
      <c r="U38" s="1417"/>
      <c r="V38" s="1418"/>
    </row>
    <row r="39" spans="1:29" ht="15" thickBot="1"/>
    <row r="40" spans="1:29">
      <c r="A40" s="90" t="s">
        <v>2502</v>
      </c>
      <c r="B40" s="82" t="s">
        <v>284</v>
      </c>
      <c r="C40" s="82" t="s">
        <v>250</v>
      </c>
      <c r="D40" s="82" t="s">
        <v>253</v>
      </c>
      <c r="E40" s="82" t="s">
        <v>283</v>
      </c>
      <c r="F40" s="82" t="s">
        <v>282</v>
      </c>
      <c r="G40" s="82" t="s">
        <v>1570</v>
      </c>
      <c r="H40" s="82" t="s">
        <v>1571</v>
      </c>
      <c r="I40" s="82" t="s">
        <v>1572</v>
      </c>
      <c r="J40" s="82" t="s">
        <v>247</v>
      </c>
      <c r="K40" s="82" t="s">
        <v>1573</v>
      </c>
      <c r="L40" s="82" t="s">
        <v>1574</v>
      </c>
      <c r="M40" s="82" t="s">
        <v>134</v>
      </c>
      <c r="N40" s="82" t="s">
        <v>1575</v>
      </c>
      <c r="O40" s="82" t="s">
        <v>1576</v>
      </c>
      <c r="P40" s="82" t="s">
        <v>1577</v>
      </c>
      <c r="Q40" s="82" t="s">
        <v>2492</v>
      </c>
      <c r="R40" s="82" t="s">
        <v>2493</v>
      </c>
      <c r="S40" s="82" t="s">
        <v>2494</v>
      </c>
      <c r="T40" s="82" t="s">
        <v>496</v>
      </c>
      <c r="U40" s="82" t="s">
        <v>1117</v>
      </c>
      <c r="V40" s="82" t="s">
        <v>2495</v>
      </c>
      <c r="W40" s="82" t="s">
        <v>2496</v>
      </c>
      <c r="X40" s="82" t="s">
        <v>2497</v>
      </c>
      <c r="Y40" s="82" t="s">
        <v>1122</v>
      </c>
      <c r="Z40" s="82" t="s">
        <v>1147</v>
      </c>
      <c r="AA40" s="82" t="s">
        <v>644</v>
      </c>
      <c r="AB40" s="82" t="s">
        <v>1579</v>
      </c>
      <c r="AC40" s="84" t="s">
        <v>1580</v>
      </c>
    </row>
    <row r="41" spans="1:29">
      <c r="A41" s="80" t="s">
        <v>251</v>
      </c>
      <c r="B41" s="75">
        <v>0.128080312</v>
      </c>
      <c r="C41" s="75">
        <v>0</v>
      </c>
      <c r="D41" s="75">
        <v>0.75061237199999997</v>
      </c>
      <c r="E41" s="75">
        <v>0</v>
      </c>
      <c r="F41" s="75">
        <v>0</v>
      </c>
      <c r="G41" s="75">
        <v>0</v>
      </c>
      <c r="H41" s="75">
        <v>0.54331478099999997</v>
      </c>
      <c r="I41" s="75">
        <v>1.7369781900000001</v>
      </c>
      <c r="J41" s="75">
        <v>0.127155357</v>
      </c>
      <c r="K41" s="75">
        <v>0</v>
      </c>
      <c r="L41" s="75">
        <v>0</v>
      </c>
      <c r="M41" s="75">
        <v>0.49088222599999998</v>
      </c>
      <c r="N41" s="75">
        <v>0.58996058299999998</v>
      </c>
      <c r="O41" s="75">
        <v>0.23220785799999999</v>
      </c>
      <c r="P41" s="75">
        <v>1.04492114</v>
      </c>
      <c r="Q41" s="75">
        <v>0</v>
      </c>
      <c r="R41" s="75">
        <v>0</v>
      </c>
      <c r="S41" s="75">
        <v>0</v>
      </c>
      <c r="T41" s="75">
        <v>0.71350137999999996</v>
      </c>
      <c r="U41" s="75">
        <v>0</v>
      </c>
      <c r="V41" s="75">
        <v>0.49736964</v>
      </c>
      <c r="W41" s="75">
        <v>0.48397469900000001</v>
      </c>
      <c r="X41" s="75">
        <v>1.3423481509999999</v>
      </c>
      <c r="Y41" s="75">
        <v>0.111411527</v>
      </c>
      <c r="Z41" s="75">
        <v>0</v>
      </c>
      <c r="AA41" s="75">
        <v>0</v>
      </c>
      <c r="AB41" s="75">
        <v>0.795368199</v>
      </c>
      <c r="AC41" s="778">
        <v>2.8110450679999999</v>
      </c>
    </row>
    <row r="42" spans="1:29">
      <c r="A42" s="80" t="s">
        <v>249</v>
      </c>
      <c r="B42" s="75">
        <v>0.73926560900000005</v>
      </c>
      <c r="C42" s="75">
        <v>1.738334687</v>
      </c>
      <c r="D42" s="75">
        <v>0.81665092699999997</v>
      </c>
      <c r="E42" s="75">
        <v>0.79213796299999994</v>
      </c>
      <c r="F42" s="75">
        <v>1.053247584</v>
      </c>
      <c r="G42" s="75">
        <v>0</v>
      </c>
      <c r="H42" s="75">
        <v>0.62074749699999998</v>
      </c>
      <c r="I42" s="75">
        <v>0</v>
      </c>
      <c r="J42" s="75">
        <v>1.114246581</v>
      </c>
      <c r="K42" s="75">
        <v>3.155223334</v>
      </c>
      <c r="L42" s="75">
        <v>0</v>
      </c>
      <c r="M42" s="75">
        <v>0.76093819900000004</v>
      </c>
      <c r="N42" s="75">
        <v>1.1635619189999999</v>
      </c>
      <c r="O42" s="75">
        <v>0</v>
      </c>
      <c r="P42" s="75">
        <v>0.53502847799999997</v>
      </c>
      <c r="Q42" s="75">
        <v>0.89095906999999996</v>
      </c>
      <c r="R42" s="75">
        <v>0.78935359199999999</v>
      </c>
      <c r="S42" s="75">
        <v>3.489589692</v>
      </c>
      <c r="T42" s="75">
        <v>0.92826351600000001</v>
      </c>
      <c r="U42" s="75">
        <v>0</v>
      </c>
      <c r="V42" s="75">
        <v>0.72790645099999995</v>
      </c>
      <c r="W42" s="75">
        <v>0.70830279399999996</v>
      </c>
      <c r="X42" s="75">
        <v>1.964542666</v>
      </c>
      <c r="Y42" s="75">
        <v>0</v>
      </c>
      <c r="Z42" s="75">
        <v>0</v>
      </c>
      <c r="AA42" s="75">
        <v>0</v>
      </c>
      <c r="AB42" s="75">
        <v>1.809864707</v>
      </c>
      <c r="AC42" s="778">
        <v>0</v>
      </c>
    </row>
    <row r="43" spans="1:29">
      <c r="A43" s="80" t="s">
        <v>1581</v>
      </c>
      <c r="B43" s="75">
        <v>0.47640309600000003</v>
      </c>
      <c r="C43" s="75">
        <v>1.069567108</v>
      </c>
      <c r="D43" s="75">
        <v>0.97652588600000001</v>
      </c>
      <c r="E43" s="75">
        <v>1.4951802519999999</v>
      </c>
      <c r="F43" s="75">
        <v>0.79201768800000005</v>
      </c>
      <c r="G43" s="75">
        <v>0.60532045300000004</v>
      </c>
      <c r="H43" s="75">
        <v>0.97735711199999997</v>
      </c>
      <c r="I43" s="75">
        <v>0</v>
      </c>
      <c r="J43" s="75">
        <v>0.46270529799999999</v>
      </c>
      <c r="K43" s="75">
        <v>0</v>
      </c>
      <c r="L43" s="75">
        <v>0</v>
      </c>
      <c r="M43" s="75">
        <v>0.90085573600000002</v>
      </c>
      <c r="N43" s="75">
        <v>0.80864165799999999</v>
      </c>
      <c r="O43" s="75">
        <v>0</v>
      </c>
      <c r="P43" s="75">
        <v>0.951083389</v>
      </c>
      <c r="Q43" s="75">
        <v>0.53433238199999999</v>
      </c>
      <c r="R43" s="75">
        <v>0.473396814</v>
      </c>
      <c r="S43" s="75">
        <v>2.09280183</v>
      </c>
      <c r="T43" s="75">
        <v>1.684301329</v>
      </c>
      <c r="U43" s="75">
        <v>0</v>
      </c>
      <c r="V43" s="75">
        <v>0.59278815299999998</v>
      </c>
      <c r="W43" s="75">
        <v>0.57682344299999999</v>
      </c>
      <c r="X43" s="75">
        <v>1.599872645</v>
      </c>
      <c r="Y43" s="75">
        <v>0</v>
      </c>
      <c r="Z43" s="75">
        <v>0</v>
      </c>
      <c r="AA43" s="75">
        <v>0.96214507400000004</v>
      </c>
      <c r="AB43" s="75">
        <v>0.94683489899999995</v>
      </c>
      <c r="AC43" s="778">
        <v>3.1156280249999999</v>
      </c>
    </row>
    <row r="44" spans="1:29">
      <c r="A44" s="80" t="s">
        <v>1582</v>
      </c>
      <c r="B44" s="75">
        <v>0.37225211400000002</v>
      </c>
      <c r="C44" s="75">
        <v>0.78601372700000005</v>
      </c>
      <c r="D44" s="75">
        <v>0.70972805100000003</v>
      </c>
      <c r="E44" s="75">
        <v>1.2503405809999999</v>
      </c>
      <c r="F44" s="75">
        <v>0.79124912199999997</v>
      </c>
      <c r="G44" s="75">
        <v>0</v>
      </c>
      <c r="H44" s="75">
        <v>0.40716233200000002</v>
      </c>
      <c r="I44" s="75">
        <v>0.84071790899999999</v>
      </c>
      <c r="J44" s="75">
        <v>0.31472307199999999</v>
      </c>
      <c r="K44" s="75">
        <v>0.87420821999999998</v>
      </c>
      <c r="L44" s="75">
        <v>3.2127300870000002</v>
      </c>
      <c r="M44" s="75">
        <v>0.66546583999999998</v>
      </c>
      <c r="N44" s="75">
        <v>0.58624359199999998</v>
      </c>
      <c r="O44" s="75">
        <v>0.59911627300000003</v>
      </c>
      <c r="P44" s="75">
        <v>0.80105314100000002</v>
      </c>
      <c r="Q44" s="75">
        <v>0.496370596</v>
      </c>
      <c r="R44" s="75">
        <v>0.43976421100000002</v>
      </c>
      <c r="S44" s="75">
        <v>1.9441181670000001</v>
      </c>
      <c r="T44" s="75">
        <v>0.61209106899999999</v>
      </c>
      <c r="U44" s="75">
        <v>0.64538314200000002</v>
      </c>
      <c r="V44" s="75">
        <v>0.52871432200000001</v>
      </c>
      <c r="W44" s="75">
        <v>0.51447522000000001</v>
      </c>
      <c r="X44" s="75">
        <v>1.4269441389999999</v>
      </c>
      <c r="Y44" s="75">
        <v>0.20425407900000001</v>
      </c>
      <c r="Z44" s="75">
        <v>0</v>
      </c>
      <c r="AA44" s="75">
        <v>0.54980510199999999</v>
      </c>
      <c r="AB44" s="75">
        <v>0</v>
      </c>
      <c r="AC44" s="778">
        <v>0</v>
      </c>
    </row>
    <row r="45" spans="1:29">
      <c r="A45" s="80" t="s">
        <v>252</v>
      </c>
      <c r="B45" s="75">
        <v>0.26680684599999999</v>
      </c>
      <c r="C45" s="75">
        <v>0.69850619999999997</v>
      </c>
      <c r="D45" s="75">
        <v>0.61020474700000005</v>
      </c>
      <c r="E45" s="75">
        <v>0.63449487500000001</v>
      </c>
      <c r="F45" s="75">
        <v>0</v>
      </c>
      <c r="G45" s="75">
        <v>0</v>
      </c>
      <c r="H45" s="75">
        <v>0.28755786799999999</v>
      </c>
      <c r="I45" s="75">
        <v>0</v>
      </c>
      <c r="J45" s="75">
        <v>0.16629977200000001</v>
      </c>
      <c r="K45" s="75">
        <v>0</v>
      </c>
      <c r="L45" s="75">
        <v>0</v>
      </c>
      <c r="M45" s="75">
        <v>0.49238157399999999</v>
      </c>
      <c r="N45" s="75">
        <v>0.45652206299999998</v>
      </c>
      <c r="O45" s="75">
        <v>0</v>
      </c>
      <c r="P45" s="75">
        <v>0.623840324</v>
      </c>
      <c r="Q45" s="75">
        <v>0.47199324100000001</v>
      </c>
      <c r="R45" s="75">
        <v>0.41816686400000003</v>
      </c>
      <c r="S45" s="75">
        <v>1.848640195</v>
      </c>
      <c r="T45" s="75">
        <v>0.68907739700000004</v>
      </c>
      <c r="U45" s="75">
        <v>0.65009114000000001</v>
      </c>
      <c r="V45" s="75">
        <v>0</v>
      </c>
      <c r="W45" s="75">
        <v>0</v>
      </c>
      <c r="X45" s="75">
        <v>0</v>
      </c>
      <c r="Y45" s="75">
        <v>6.5300585999999994E-2</v>
      </c>
      <c r="Z45" s="75">
        <v>0</v>
      </c>
      <c r="AA45" s="75">
        <v>0.47709734999999998</v>
      </c>
      <c r="AB45" s="75">
        <v>0</v>
      </c>
      <c r="AC45" s="778">
        <v>0</v>
      </c>
    </row>
    <row r="46" spans="1:29">
      <c r="A46" s="80" t="s">
        <v>357</v>
      </c>
      <c r="B46" s="75">
        <v>2.274774329</v>
      </c>
      <c r="C46" s="75">
        <v>1.333301114</v>
      </c>
      <c r="D46" s="75">
        <v>6.5039042770000002</v>
      </c>
      <c r="E46" s="75">
        <v>56.879418319999999</v>
      </c>
      <c r="F46" s="75">
        <v>0</v>
      </c>
      <c r="G46" s="75">
        <v>0.452247868</v>
      </c>
      <c r="H46" s="75">
        <v>2.2376156470000002</v>
      </c>
      <c r="I46" s="75">
        <v>0</v>
      </c>
      <c r="J46" s="75">
        <v>3.3912497949999998</v>
      </c>
      <c r="K46" s="75">
        <v>1.4023717929999999</v>
      </c>
      <c r="L46" s="75">
        <v>0</v>
      </c>
      <c r="M46" s="75">
        <v>4.085458676</v>
      </c>
      <c r="N46" s="75">
        <v>1.0869008680000001</v>
      </c>
      <c r="O46" s="75">
        <v>0.69468050400000003</v>
      </c>
      <c r="P46" s="75">
        <v>1.629041261</v>
      </c>
      <c r="Q46" s="75">
        <v>0</v>
      </c>
      <c r="R46" s="75">
        <v>0</v>
      </c>
      <c r="S46" s="75">
        <v>0</v>
      </c>
      <c r="T46" s="75">
        <v>4.0179850100000003</v>
      </c>
      <c r="U46" s="75">
        <v>0</v>
      </c>
      <c r="V46" s="75">
        <v>3.1285276729999998</v>
      </c>
      <c r="W46" s="75">
        <v>3.0442715370000002</v>
      </c>
      <c r="X46" s="75">
        <v>8.4435659059999999</v>
      </c>
      <c r="Y46" s="75">
        <v>0</v>
      </c>
      <c r="Z46" s="75">
        <v>0</v>
      </c>
      <c r="AA46" s="75">
        <v>0</v>
      </c>
      <c r="AB46" s="75">
        <v>9.7575977229999999</v>
      </c>
      <c r="AC46" s="778">
        <v>0</v>
      </c>
    </row>
    <row r="47" spans="1:29">
      <c r="A47" s="80" t="s">
        <v>1583</v>
      </c>
      <c r="B47" s="75">
        <v>0</v>
      </c>
      <c r="C47" s="75">
        <v>0.88166117799999999</v>
      </c>
      <c r="D47" s="75">
        <v>0.97912027000000001</v>
      </c>
      <c r="E47" s="75">
        <v>0</v>
      </c>
      <c r="F47" s="75">
        <v>0</v>
      </c>
      <c r="G47" s="75">
        <v>0.58935201299999995</v>
      </c>
      <c r="H47" s="75">
        <v>0.651010282</v>
      </c>
      <c r="I47" s="75">
        <v>0</v>
      </c>
      <c r="J47" s="75">
        <v>0.46697923299999999</v>
      </c>
      <c r="K47" s="75">
        <v>0</v>
      </c>
      <c r="L47" s="75">
        <v>0</v>
      </c>
      <c r="M47" s="75">
        <v>0.87037328300000005</v>
      </c>
      <c r="N47" s="75">
        <v>0.84924200699999997</v>
      </c>
      <c r="O47" s="75">
        <v>0</v>
      </c>
      <c r="P47" s="75">
        <v>0</v>
      </c>
      <c r="Q47" s="75">
        <v>0.56631766800000005</v>
      </c>
      <c r="R47" s="75">
        <v>0.50173447999999998</v>
      </c>
      <c r="S47" s="75">
        <v>2.2180775330000002</v>
      </c>
      <c r="T47" s="75">
        <v>0.94258106399999997</v>
      </c>
      <c r="U47" s="75">
        <v>0</v>
      </c>
      <c r="V47" s="75">
        <v>0.58830439700000003</v>
      </c>
      <c r="W47" s="75">
        <v>0.57246044100000004</v>
      </c>
      <c r="X47" s="75">
        <v>1.587771461</v>
      </c>
      <c r="Y47" s="75">
        <v>0.33513699699999999</v>
      </c>
      <c r="Z47" s="75">
        <v>1.5339474369999999</v>
      </c>
      <c r="AA47" s="75">
        <v>0.78079352400000002</v>
      </c>
      <c r="AB47" s="75">
        <v>1.017856136</v>
      </c>
      <c r="AC47" s="778">
        <v>0.38157692199999999</v>
      </c>
    </row>
    <row r="48" spans="1:29">
      <c r="A48" s="80" t="s">
        <v>362</v>
      </c>
      <c r="B48" s="75">
        <v>0</v>
      </c>
      <c r="C48" s="75">
        <v>0.69901160100000004</v>
      </c>
      <c r="D48" s="75">
        <v>5.1257748359999997</v>
      </c>
      <c r="E48" s="75">
        <v>1.3597839700000001</v>
      </c>
      <c r="F48" s="75">
        <v>0</v>
      </c>
      <c r="G48" s="75">
        <v>0</v>
      </c>
      <c r="H48" s="75">
        <v>1.5329794999999999</v>
      </c>
      <c r="I48" s="75">
        <v>0</v>
      </c>
      <c r="J48" s="75">
        <v>0</v>
      </c>
      <c r="K48" s="75">
        <v>0</v>
      </c>
      <c r="L48" s="75">
        <v>8.5756605359999991</v>
      </c>
      <c r="M48" s="75">
        <v>3.4419837740000001</v>
      </c>
      <c r="N48" s="75">
        <v>0.60941301599999997</v>
      </c>
      <c r="O48" s="75">
        <v>0</v>
      </c>
      <c r="P48" s="75">
        <v>6.7563021020000003</v>
      </c>
      <c r="Q48" s="75">
        <v>2.6041621400000001</v>
      </c>
      <c r="R48" s="75">
        <v>2.3071820110000001</v>
      </c>
      <c r="S48" s="75">
        <v>10.199635049999999</v>
      </c>
      <c r="T48" s="75">
        <v>0.91297899400000004</v>
      </c>
      <c r="U48" s="75">
        <v>0</v>
      </c>
      <c r="V48" s="75">
        <v>2.8615672380000001</v>
      </c>
      <c r="W48" s="75">
        <v>2.7845007640000001</v>
      </c>
      <c r="X48" s="75">
        <v>7.7230678770000001</v>
      </c>
      <c r="Y48" s="75">
        <v>0</v>
      </c>
      <c r="Z48" s="75">
        <v>1.23641209</v>
      </c>
      <c r="AA48" s="75">
        <v>6.977589118</v>
      </c>
      <c r="AB48" s="75">
        <v>1.29968134</v>
      </c>
      <c r="AC48" s="778">
        <v>0</v>
      </c>
    </row>
    <row r="49" spans="1:29">
      <c r="A49" s="80" t="s">
        <v>248</v>
      </c>
      <c r="B49" s="75">
        <v>0.396139876</v>
      </c>
      <c r="C49" s="75">
        <v>0.77374863400000005</v>
      </c>
      <c r="D49" s="75">
        <v>0.85222316300000001</v>
      </c>
      <c r="E49" s="75">
        <v>1.506076736</v>
      </c>
      <c r="F49" s="75">
        <v>0</v>
      </c>
      <c r="G49" s="75">
        <v>0</v>
      </c>
      <c r="H49" s="75">
        <v>0.60898914199999998</v>
      </c>
      <c r="I49" s="75">
        <v>1.059886101</v>
      </c>
      <c r="J49" s="75">
        <v>0.360388704</v>
      </c>
      <c r="K49" s="75">
        <v>1.000776632</v>
      </c>
      <c r="L49" s="75">
        <v>2.4069734199999999</v>
      </c>
      <c r="M49" s="75">
        <v>0.76372741</v>
      </c>
      <c r="N49" s="75">
        <v>0.72038197699999995</v>
      </c>
      <c r="O49" s="75">
        <v>0.37834293400000002</v>
      </c>
      <c r="P49" s="75">
        <v>0.99945426599999998</v>
      </c>
      <c r="Q49" s="75">
        <v>0.51218266999999995</v>
      </c>
      <c r="R49" s="75">
        <v>0.45377306699999997</v>
      </c>
      <c r="S49" s="75">
        <v>2.006048791</v>
      </c>
      <c r="T49" s="75">
        <v>0.939664316</v>
      </c>
      <c r="U49" s="75">
        <v>0</v>
      </c>
      <c r="V49" s="75">
        <v>0.95113410099999995</v>
      </c>
      <c r="W49" s="75">
        <v>0.92551857400000004</v>
      </c>
      <c r="X49" s="75">
        <v>2.5670105250000002</v>
      </c>
      <c r="Y49" s="75">
        <v>0</v>
      </c>
      <c r="Z49" s="75">
        <v>0</v>
      </c>
      <c r="AA49" s="75">
        <v>0.72694490499999997</v>
      </c>
      <c r="AB49" s="75">
        <v>0</v>
      </c>
      <c r="AC49" s="778">
        <v>0</v>
      </c>
    </row>
    <row r="50" spans="1:29">
      <c r="A50" s="80" t="s">
        <v>1584</v>
      </c>
      <c r="B50" s="75">
        <v>0</v>
      </c>
      <c r="C50" s="75">
        <v>0</v>
      </c>
      <c r="D50" s="75">
        <v>0</v>
      </c>
      <c r="E50" s="75">
        <v>0</v>
      </c>
      <c r="F50" s="75">
        <v>0</v>
      </c>
      <c r="G50" s="75">
        <v>0</v>
      </c>
      <c r="H50" s="75">
        <v>1.0568302119999999</v>
      </c>
      <c r="I50" s="75">
        <v>0</v>
      </c>
      <c r="J50" s="75">
        <v>1.4201663179999999</v>
      </c>
      <c r="K50" s="75">
        <v>0</v>
      </c>
      <c r="L50" s="75">
        <v>1.039025394</v>
      </c>
      <c r="M50" s="75">
        <v>0</v>
      </c>
      <c r="N50" s="75">
        <v>0</v>
      </c>
      <c r="O50" s="75">
        <v>0</v>
      </c>
      <c r="P50" s="75">
        <v>0</v>
      </c>
      <c r="Q50" s="75">
        <v>0</v>
      </c>
      <c r="R50" s="75">
        <v>0</v>
      </c>
      <c r="S50" s="75">
        <v>0</v>
      </c>
      <c r="T50" s="75">
        <v>0</v>
      </c>
      <c r="U50" s="75">
        <v>0</v>
      </c>
      <c r="V50" s="75">
        <v>0</v>
      </c>
      <c r="W50" s="75">
        <v>0</v>
      </c>
      <c r="X50" s="75">
        <v>0</v>
      </c>
      <c r="Y50" s="75">
        <v>0</v>
      </c>
      <c r="Z50" s="75">
        <v>0</v>
      </c>
      <c r="AA50" s="75">
        <v>0</v>
      </c>
      <c r="AB50" s="75">
        <v>2.3166383320000001</v>
      </c>
      <c r="AC50" s="778">
        <v>0</v>
      </c>
    </row>
    <row r="51" spans="1:29">
      <c r="A51" s="80" t="s">
        <v>1585</v>
      </c>
      <c r="B51" s="75">
        <v>0.50796161900000003</v>
      </c>
      <c r="C51" s="75">
        <v>2.656589817</v>
      </c>
      <c r="D51" s="75">
        <v>1.6964218550000001</v>
      </c>
      <c r="E51" s="75">
        <v>3.394979346</v>
      </c>
      <c r="F51" s="75">
        <v>2.8436540529999998</v>
      </c>
      <c r="G51" s="75">
        <v>0</v>
      </c>
      <c r="H51" s="75">
        <v>0.51983549799999995</v>
      </c>
      <c r="I51" s="75">
        <v>0</v>
      </c>
      <c r="J51" s="75">
        <v>0.75427161700000001</v>
      </c>
      <c r="K51" s="75">
        <v>0</v>
      </c>
      <c r="L51" s="75">
        <v>0</v>
      </c>
      <c r="M51" s="75">
        <v>1.0333648950000001</v>
      </c>
      <c r="N51" s="75">
        <v>1.045651377</v>
      </c>
      <c r="O51" s="75">
        <v>0.44916034900000001</v>
      </c>
      <c r="P51" s="75">
        <v>1.864104481</v>
      </c>
      <c r="Q51" s="75">
        <v>0</v>
      </c>
      <c r="R51" s="75">
        <v>0</v>
      </c>
      <c r="S51" s="75">
        <v>0</v>
      </c>
      <c r="T51" s="75">
        <v>2.0340062240000001</v>
      </c>
      <c r="U51" s="75">
        <v>0</v>
      </c>
      <c r="V51" s="75">
        <v>0.79425676199999995</v>
      </c>
      <c r="W51" s="75">
        <v>0.77286618699999998</v>
      </c>
      <c r="X51" s="75">
        <v>2.1436151489999999</v>
      </c>
      <c r="Y51" s="75">
        <v>0.59264476799999999</v>
      </c>
      <c r="Z51" s="75">
        <v>0</v>
      </c>
      <c r="AA51" s="75">
        <v>0</v>
      </c>
      <c r="AB51" s="75">
        <v>2.026702615</v>
      </c>
      <c r="AC51" s="778">
        <v>0</v>
      </c>
    </row>
    <row r="52" spans="1:29">
      <c r="A52" s="80" t="s">
        <v>136</v>
      </c>
      <c r="B52" s="75">
        <v>0.48190111699999999</v>
      </c>
      <c r="C52" s="75">
        <v>0.74675772100000004</v>
      </c>
      <c r="D52" s="75">
        <v>0.73812746799999995</v>
      </c>
      <c r="E52" s="75">
        <v>1.143285433</v>
      </c>
      <c r="F52" s="75">
        <v>0</v>
      </c>
      <c r="G52" s="75">
        <v>0</v>
      </c>
      <c r="H52" s="75">
        <v>0</v>
      </c>
      <c r="I52" s="75">
        <v>1.1984928829999999</v>
      </c>
      <c r="J52" s="75">
        <v>0</v>
      </c>
      <c r="K52" s="75">
        <v>0</v>
      </c>
      <c r="L52" s="75">
        <v>0</v>
      </c>
      <c r="M52" s="75">
        <v>0.595782912</v>
      </c>
      <c r="N52" s="75">
        <v>0.57812237799999999</v>
      </c>
      <c r="O52" s="75">
        <v>0</v>
      </c>
      <c r="P52" s="75">
        <v>0</v>
      </c>
      <c r="Q52" s="75">
        <v>0.43561064900000002</v>
      </c>
      <c r="R52" s="75">
        <v>0.38593336299999997</v>
      </c>
      <c r="S52" s="75">
        <v>1.7061417080000001</v>
      </c>
      <c r="T52" s="75">
        <v>0.485891187</v>
      </c>
      <c r="U52" s="75">
        <v>0.67586500000000005</v>
      </c>
      <c r="V52" s="75">
        <v>0</v>
      </c>
      <c r="W52" s="75">
        <v>0</v>
      </c>
      <c r="X52" s="75">
        <v>0</v>
      </c>
      <c r="Y52" s="75">
        <v>0</v>
      </c>
      <c r="Z52" s="75">
        <v>0</v>
      </c>
      <c r="AA52" s="75">
        <v>0.40937516099999999</v>
      </c>
      <c r="AB52" s="75">
        <v>0</v>
      </c>
      <c r="AC52" s="778">
        <v>0</v>
      </c>
    </row>
    <row r="53" spans="1:29">
      <c r="A53" s="80" t="s">
        <v>1586</v>
      </c>
      <c r="B53" s="75">
        <v>0.24044731599999999</v>
      </c>
      <c r="C53" s="75">
        <v>0.80220583999999995</v>
      </c>
      <c r="D53" s="75">
        <v>0</v>
      </c>
      <c r="E53" s="75">
        <v>1.184257414</v>
      </c>
      <c r="F53" s="75">
        <v>0.68867958100000004</v>
      </c>
      <c r="G53" s="75">
        <v>0</v>
      </c>
      <c r="H53" s="75">
        <v>1.2266224640000001</v>
      </c>
      <c r="I53" s="75">
        <v>0.94364387400000005</v>
      </c>
      <c r="J53" s="75">
        <v>0.401919949</v>
      </c>
      <c r="K53" s="75">
        <v>0</v>
      </c>
      <c r="L53" s="75">
        <v>0</v>
      </c>
      <c r="M53" s="75">
        <v>1.159359925</v>
      </c>
      <c r="N53" s="75">
        <v>1.065691181</v>
      </c>
      <c r="O53" s="75">
        <v>0.94463309399999995</v>
      </c>
      <c r="P53" s="75">
        <v>0.72621424800000001</v>
      </c>
      <c r="Q53" s="75">
        <v>0</v>
      </c>
      <c r="R53" s="75">
        <v>0</v>
      </c>
      <c r="S53" s="75">
        <v>0</v>
      </c>
      <c r="T53" s="75">
        <v>4.2165831000000003</v>
      </c>
      <c r="U53" s="75">
        <v>0</v>
      </c>
      <c r="V53" s="75">
        <v>1.814689268</v>
      </c>
      <c r="W53" s="75">
        <v>1.7658168519999999</v>
      </c>
      <c r="X53" s="75">
        <v>4.8976547549999996</v>
      </c>
      <c r="Y53" s="75">
        <v>0.30210103300000002</v>
      </c>
      <c r="Z53" s="75">
        <v>0</v>
      </c>
      <c r="AA53" s="75">
        <v>0</v>
      </c>
      <c r="AB53" s="75">
        <v>2.2633141430000001</v>
      </c>
      <c r="AC53" s="778">
        <v>0.59463101100000004</v>
      </c>
    </row>
    <row r="54" spans="1:29">
      <c r="A54" s="80" t="s">
        <v>1587</v>
      </c>
      <c r="B54" s="75">
        <v>0</v>
      </c>
      <c r="C54" s="75">
        <v>1.1281565330000001</v>
      </c>
      <c r="D54" s="75">
        <v>0.73958718999999995</v>
      </c>
      <c r="E54" s="75">
        <v>0</v>
      </c>
      <c r="F54" s="75">
        <v>0</v>
      </c>
      <c r="G54" s="75">
        <v>0</v>
      </c>
      <c r="H54" s="75">
        <v>0.67180268200000004</v>
      </c>
      <c r="I54" s="75">
        <v>0</v>
      </c>
      <c r="J54" s="75">
        <v>0</v>
      </c>
      <c r="K54" s="75">
        <v>0.44931797499999998</v>
      </c>
      <c r="L54" s="75">
        <v>0</v>
      </c>
      <c r="M54" s="75">
        <v>0.65211994699999998</v>
      </c>
      <c r="N54" s="75">
        <v>0.60507998100000004</v>
      </c>
      <c r="O54" s="75">
        <v>0</v>
      </c>
      <c r="P54" s="75">
        <v>0</v>
      </c>
      <c r="Q54" s="75">
        <v>0</v>
      </c>
      <c r="R54" s="75">
        <v>0</v>
      </c>
      <c r="S54" s="75">
        <v>0</v>
      </c>
      <c r="T54" s="75">
        <v>0.92591410200000002</v>
      </c>
      <c r="U54" s="75">
        <v>0</v>
      </c>
      <c r="V54" s="75">
        <v>0.36564967100000001</v>
      </c>
      <c r="W54" s="75">
        <v>0.35580215500000001</v>
      </c>
      <c r="X54" s="75">
        <v>0.98684986100000005</v>
      </c>
      <c r="Y54" s="75">
        <v>0</v>
      </c>
      <c r="Z54" s="75">
        <v>0.69659225499999999</v>
      </c>
      <c r="AA54" s="75">
        <v>0</v>
      </c>
      <c r="AB54" s="75">
        <v>1.029759079</v>
      </c>
      <c r="AC54" s="778">
        <v>0</v>
      </c>
    </row>
    <row r="55" spans="1:29">
      <c r="A55" s="80" t="s">
        <v>1588</v>
      </c>
      <c r="B55" s="75">
        <v>0.20816799599999999</v>
      </c>
      <c r="C55" s="75">
        <v>0.83212075100000005</v>
      </c>
      <c r="D55" s="75">
        <v>0.91310107600000001</v>
      </c>
      <c r="E55" s="75">
        <v>1.046826166</v>
      </c>
      <c r="F55" s="75">
        <v>0.98291419099999999</v>
      </c>
      <c r="G55" s="75">
        <v>0</v>
      </c>
      <c r="H55" s="75">
        <v>0.37726503099999997</v>
      </c>
      <c r="I55" s="75">
        <v>1.0084550960000001</v>
      </c>
      <c r="J55" s="75">
        <v>0.14794724300000001</v>
      </c>
      <c r="K55" s="75">
        <v>0.84357441499999997</v>
      </c>
      <c r="L55" s="75">
        <v>0</v>
      </c>
      <c r="M55" s="75">
        <v>0.80701142999999997</v>
      </c>
      <c r="N55" s="75">
        <v>0.80574252899999999</v>
      </c>
      <c r="O55" s="75">
        <v>0.19876364299999999</v>
      </c>
      <c r="P55" s="75">
        <v>0.92587984099999998</v>
      </c>
      <c r="Q55" s="75">
        <v>0.52510659199999998</v>
      </c>
      <c r="R55" s="75">
        <v>0.46522313799999998</v>
      </c>
      <c r="S55" s="75">
        <v>2.0566674859999998</v>
      </c>
      <c r="T55" s="75">
        <v>0.85117137200000004</v>
      </c>
      <c r="U55" s="75">
        <v>0.88295359399999995</v>
      </c>
      <c r="V55" s="75">
        <v>0.38940877699999998</v>
      </c>
      <c r="W55" s="75">
        <v>0.37892139000000002</v>
      </c>
      <c r="X55" s="75">
        <v>1.050973178</v>
      </c>
      <c r="Y55" s="75">
        <v>0.135085697</v>
      </c>
      <c r="Z55" s="75">
        <v>0</v>
      </c>
      <c r="AA55" s="75">
        <v>0.77900381900000004</v>
      </c>
      <c r="AB55" s="75">
        <v>0</v>
      </c>
      <c r="AC55" s="778">
        <v>0</v>
      </c>
    </row>
    <row r="56" spans="1:29">
      <c r="A56" s="80" t="s">
        <v>1589</v>
      </c>
      <c r="B56" s="75">
        <v>0.42783795600000002</v>
      </c>
      <c r="C56" s="75">
        <v>0</v>
      </c>
      <c r="D56" s="75">
        <v>0.66982205100000003</v>
      </c>
      <c r="E56" s="75">
        <v>3.9261793269999998</v>
      </c>
      <c r="F56" s="75">
        <v>0</v>
      </c>
      <c r="G56" s="75">
        <v>0</v>
      </c>
      <c r="H56" s="75">
        <v>0.348696373</v>
      </c>
      <c r="I56" s="75">
        <v>0</v>
      </c>
      <c r="J56" s="75">
        <v>0.24439799500000001</v>
      </c>
      <c r="K56" s="75">
        <v>0</v>
      </c>
      <c r="L56" s="75">
        <v>0</v>
      </c>
      <c r="M56" s="75">
        <v>0.56061612699999996</v>
      </c>
      <c r="N56" s="75">
        <v>0.52904233300000003</v>
      </c>
      <c r="O56" s="75">
        <v>0.35947174599999998</v>
      </c>
      <c r="P56" s="75">
        <v>4.0763168869999999</v>
      </c>
      <c r="Q56" s="75">
        <v>0.643378797</v>
      </c>
      <c r="R56" s="75">
        <v>0.57000751400000005</v>
      </c>
      <c r="S56" s="75">
        <v>2.5199002890000002</v>
      </c>
      <c r="T56" s="75">
        <v>0.89108743099999999</v>
      </c>
      <c r="U56" s="75">
        <v>0</v>
      </c>
      <c r="V56" s="75">
        <v>0</v>
      </c>
      <c r="W56" s="75">
        <v>0</v>
      </c>
      <c r="X56" s="75">
        <v>0</v>
      </c>
      <c r="Y56" s="75">
        <v>7.2247953000000004E-2</v>
      </c>
      <c r="Z56" s="75">
        <v>0</v>
      </c>
      <c r="AA56" s="75">
        <v>0.65973020900000001</v>
      </c>
      <c r="AB56" s="75">
        <v>0</v>
      </c>
      <c r="AC56" s="778">
        <v>0</v>
      </c>
    </row>
    <row r="57" spans="1:29">
      <c r="A57" s="80" t="s">
        <v>1590</v>
      </c>
      <c r="B57" s="75">
        <v>0.29031374999999998</v>
      </c>
      <c r="C57" s="75">
        <v>0.69902723099999997</v>
      </c>
      <c r="D57" s="75">
        <v>0.88753326300000002</v>
      </c>
      <c r="E57" s="75">
        <v>0</v>
      </c>
      <c r="F57" s="75">
        <v>0</v>
      </c>
      <c r="G57" s="75">
        <v>0.26375357799999999</v>
      </c>
      <c r="H57" s="75">
        <v>0.51428315599999996</v>
      </c>
      <c r="I57" s="75">
        <v>0</v>
      </c>
      <c r="J57" s="75">
        <v>0.319681983</v>
      </c>
      <c r="K57" s="75">
        <v>1.2699955629999999</v>
      </c>
      <c r="L57" s="75">
        <v>1.4541784179999999</v>
      </c>
      <c r="M57" s="75">
        <v>0.67746182700000002</v>
      </c>
      <c r="N57" s="75">
        <v>0.67923602800000005</v>
      </c>
      <c r="O57" s="75">
        <v>0</v>
      </c>
      <c r="P57" s="75">
        <v>0</v>
      </c>
      <c r="Q57" s="75">
        <v>0.55429429600000002</v>
      </c>
      <c r="R57" s="75">
        <v>0.49108225900000002</v>
      </c>
      <c r="S57" s="75">
        <v>2.1709859909999998</v>
      </c>
      <c r="T57" s="75">
        <v>0.77325798499999998</v>
      </c>
      <c r="U57" s="75">
        <v>1.013674376</v>
      </c>
      <c r="V57" s="75">
        <v>0.54253628499999995</v>
      </c>
      <c r="W57" s="75">
        <v>0.52792493500000004</v>
      </c>
      <c r="X57" s="75">
        <v>1.464248156</v>
      </c>
      <c r="Y57" s="75">
        <v>0.239504524</v>
      </c>
      <c r="Z57" s="75">
        <v>0</v>
      </c>
      <c r="AA57" s="75">
        <v>0.743409498</v>
      </c>
      <c r="AB57" s="75">
        <v>0</v>
      </c>
      <c r="AC57" s="778">
        <v>0</v>
      </c>
    </row>
    <row r="58" spans="1:29">
      <c r="A58" s="80" t="s">
        <v>1591</v>
      </c>
      <c r="B58" s="75">
        <v>0</v>
      </c>
      <c r="C58" s="75">
        <v>1.359914676</v>
      </c>
      <c r="D58" s="75">
        <v>0.83068194200000001</v>
      </c>
      <c r="E58" s="75">
        <v>0</v>
      </c>
      <c r="F58" s="75">
        <v>0</v>
      </c>
      <c r="G58" s="75">
        <v>0</v>
      </c>
      <c r="H58" s="75">
        <v>0</v>
      </c>
      <c r="I58" s="75">
        <v>0</v>
      </c>
      <c r="J58" s="75">
        <v>0</v>
      </c>
      <c r="K58" s="75">
        <v>1.20743603</v>
      </c>
      <c r="L58" s="75">
        <v>0</v>
      </c>
      <c r="M58" s="75">
        <v>0.81314879600000001</v>
      </c>
      <c r="N58" s="75">
        <v>0.89421766700000005</v>
      </c>
      <c r="O58" s="75">
        <v>0</v>
      </c>
      <c r="P58" s="75">
        <v>1.100416324</v>
      </c>
      <c r="Q58" s="75">
        <v>0.752805842</v>
      </c>
      <c r="R58" s="75">
        <v>0.66695543599999996</v>
      </c>
      <c r="S58" s="75">
        <v>2.948489549</v>
      </c>
      <c r="T58" s="75">
        <v>1.6851972390000001</v>
      </c>
      <c r="U58" s="75">
        <v>0</v>
      </c>
      <c r="V58" s="75">
        <v>0</v>
      </c>
      <c r="W58" s="75">
        <v>0</v>
      </c>
      <c r="X58" s="75">
        <v>0</v>
      </c>
      <c r="Y58" s="75">
        <v>0.122488692</v>
      </c>
      <c r="Z58" s="75">
        <v>0</v>
      </c>
      <c r="AA58" s="75">
        <v>0</v>
      </c>
      <c r="AB58" s="75">
        <v>0</v>
      </c>
      <c r="AC58" s="778">
        <v>0</v>
      </c>
    </row>
    <row r="59" spans="1:29">
      <c r="A59" s="80" t="s">
        <v>1592</v>
      </c>
      <c r="B59" s="75">
        <v>0.33575223700000001</v>
      </c>
      <c r="C59" s="75">
        <v>0.88984485700000004</v>
      </c>
      <c r="D59" s="75">
        <v>1.149379675</v>
      </c>
      <c r="E59" s="75">
        <v>0</v>
      </c>
      <c r="F59" s="75">
        <v>0</v>
      </c>
      <c r="G59" s="75">
        <v>0.41326553900000002</v>
      </c>
      <c r="H59" s="75">
        <v>1.0631468610000001</v>
      </c>
      <c r="I59" s="75">
        <v>0</v>
      </c>
      <c r="J59" s="75">
        <v>0</v>
      </c>
      <c r="K59" s="75">
        <v>0</v>
      </c>
      <c r="L59" s="75">
        <v>0</v>
      </c>
      <c r="M59" s="75">
        <v>0.85931522500000002</v>
      </c>
      <c r="N59" s="75">
        <v>0.79803804099999998</v>
      </c>
      <c r="O59" s="75">
        <v>0.320171549</v>
      </c>
      <c r="P59" s="75">
        <v>1.5748498179999999</v>
      </c>
      <c r="Q59" s="75">
        <v>0.57631670700000004</v>
      </c>
      <c r="R59" s="75">
        <v>0.51059322200000001</v>
      </c>
      <c r="S59" s="75">
        <v>2.2572404349999999</v>
      </c>
      <c r="T59" s="75">
        <v>0</v>
      </c>
      <c r="U59" s="75">
        <v>0</v>
      </c>
      <c r="V59" s="75">
        <v>0.75447401999999997</v>
      </c>
      <c r="W59" s="75">
        <v>0.73415485599999997</v>
      </c>
      <c r="X59" s="75">
        <v>2.036245729</v>
      </c>
      <c r="Y59" s="75">
        <v>0.22081914899999999</v>
      </c>
      <c r="Z59" s="75">
        <v>3.1143291199999998</v>
      </c>
      <c r="AA59" s="75">
        <v>0</v>
      </c>
      <c r="AB59" s="75">
        <v>1.027925059</v>
      </c>
      <c r="AC59" s="778">
        <v>0</v>
      </c>
    </row>
    <row r="60" spans="1:29">
      <c r="A60" s="80" t="s">
        <v>1593</v>
      </c>
      <c r="B60" s="75">
        <v>0.44938875900000003</v>
      </c>
      <c r="C60" s="75">
        <v>0.90590798400000005</v>
      </c>
      <c r="D60" s="75">
        <v>0.77805842199999997</v>
      </c>
      <c r="E60" s="75">
        <v>1.301264822</v>
      </c>
      <c r="F60" s="75">
        <v>0</v>
      </c>
      <c r="G60" s="75">
        <v>0.41011530000000002</v>
      </c>
      <c r="H60" s="75">
        <v>0.57491247400000001</v>
      </c>
      <c r="I60" s="75">
        <v>0</v>
      </c>
      <c r="J60" s="75">
        <v>0.39100861999999997</v>
      </c>
      <c r="K60" s="75">
        <v>0</v>
      </c>
      <c r="L60" s="75">
        <v>10.3770241</v>
      </c>
      <c r="M60" s="75">
        <v>0.83989448099999997</v>
      </c>
      <c r="N60" s="75">
        <v>0.76715090200000002</v>
      </c>
      <c r="O60" s="75">
        <v>0</v>
      </c>
      <c r="P60" s="75">
        <v>0</v>
      </c>
      <c r="Q60" s="75">
        <v>0.78308797900000005</v>
      </c>
      <c r="R60" s="75">
        <v>0.69378418100000006</v>
      </c>
      <c r="S60" s="75">
        <v>3.0670945829999998</v>
      </c>
      <c r="T60" s="75">
        <v>0.77835485800000004</v>
      </c>
      <c r="U60" s="75">
        <v>0.85327595499999997</v>
      </c>
      <c r="V60" s="75">
        <v>0.77772911899999997</v>
      </c>
      <c r="W60" s="75">
        <v>0.756783659</v>
      </c>
      <c r="X60" s="75">
        <v>2.0990087850000001</v>
      </c>
      <c r="Y60" s="75">
        <v>0.31626618699999998</v>
      </c>
      <c r="Z60" s="75">
        <v>0.81438784900000005</v>
      </c>
      <c r="AA60" s="75">
        <v>0.87648971099999995</v>
      </c>
      <c r="AB60" s="75">
        <v>0.803846862</v>
      </c>
      <c r="AC60" s="778">
        <v>0</v>
      </c>
    </row>
    <row r="61" spans="1:29">
      <c r="A61" s="80" t="s">
        <v>1594</v>
      </c>
      <c r="B61" s="75">
        <v>0.57646173899999997</v>
      </c>
      <c r="C61" s="75">
        <v>1.443017384</v>
      </c>
      <c r="D61" s="75">
        <v>1.3173905589999999</v>
      </c>
      <c r="E61" s="75">
        <v>1.497963629</v>
      </c>
      <c r="F61" s="75">
        <v>0</v>
      </c>
      <c r="G61" s="75">
        <v>0.47750846499999999</v>
      </c>
      <c r="H61" s="75">
        <v>0.72704542500000002</v>
      </c>
      <c r="I61" s="75">
        <v>0</v>
      </c>
      <c r="J61" s="75">
        <v>0.76996890100000004</v>
      </c>
      <c r="K61" s="75">
        <v>1.1678497510000001</v>
      </c>
      <c r="L61" s="75">
        <v>2.0014673759999999</v>
      </c>
      <c r="M61" s="75">
        <v>1.569680644</v>
      </c>
      <c r="N61" s="75">
        <v>1.160825338</v>
      </c>
      <c r="O61" s="75">
        <v>0.43175585100000002</v>
      </c>
      <c r="P61" s="75">
        <v>0</v>
      </c>
      <c r="Q61" s="75">
        <v>0.63089546699999999</v>
      </c>
      <c r="R61" s="75">
        <v>0.55894779000000006</v>
      </c>
      <c r="S61" s="75">
        <v>2.4710072470000002</v>
      </c>
      <c r="T61" s="75">
        <v>1.3207169030000001</v>
      </c>
      <c r="U61" s="75">
        <v>0</v>
      </c>
      <c r="V61" s="75">
        <v>0.69421671900000004</v>
      </c>
      <c r="W61" s="75">
        <v>0.67552037899999995</v>
      </c>
      <c r="X61" s="75">
        <v>1.8736176360000001</v>
      </c>
      <c r="Y61" s="75">
        <v>0.46429040599999999</v>
      </c>
      <c r="Z61" s="75">
        <v>1.0777539169999999</v>
      </c>
      <c r="AA61" s="75">
        <v>0</v>
      </c>
      <c r="AB61" s="75">
        <v>1.6310992019999999</v>
      </c>
      <c r="AC61" s="778">
        <v>0</v>
      </c>
    </row>
    <row r="62" spans="1:29">
      <c r="A62" s="80" t="s">
        <v>1595</v>
      </c>
      <c r="B62" s="75">
        <v>0.289559697</v>
      </c>
      <c r="C62" s="75">
        <v>0.813791449</v>
      </c>
      <c r="D62" s="75">
        <v>1.1899484819999999</v>
      </c>
      <c r="E62" s="75">
        <v>0.49480562099999997</v>
      </c>
      <c r="F62" s="75">
        <v>1.3319300860000001</v>
      </c>
      <c r="G62" s="75">
        <v>0</v>
      </c>
      <c r="H62" s="75">
        <v>0.42935831699999999</v>
      </c>
      <c r="I62" s="75">
        <v>0.91158692299999999</v>
      </c>
      <c r="J62" s="75">
        <v>0.25564678000000002</v>
      </c>
      <c r="K62" s="75">
        <v>0.77894851799999998</v>
      </c>
      <c r="L62" s="75">
        <v>0</v>
      </c>
      <c r="M62" s="75">
        <v>0.70927589700000004</v>
      </c>
      <c r="N62" s="75">
        <v>0.69944718800000005</v>
      </c>
      <c r="O62" s="75">
        <v>0.27475580500000002</v>
      </c>
      <c r="P62" s="75">
        <v>0.63160797199999996</v>
      </c>
      <c r="Q62" s="75">
        <v>0.38191553900000003</v>
      </c>
      <c r="R62" s="75">
        <v>0.338361674</v>
      </c>
      <c r="S62" s="75">
        <v>1.4958358620000001</v>
      </c>
      <c r="T62" s="75">
        <v>0.83795894599999998</v>
      </c>
      <c r="U62" s="75">
        <v>0.75842665399999998</v>
      </c>
      <c r="V62" s="75">
        <v>0.46756141699999998</v>
      </c>
      <c r="W62" s="75">
        <v>0.45496925799999999</v>
      </c>
      <c r="X62" s="75">
        <v>1.2618989030000001</v>
      </c>
      <c r="Y62" s="75">
        <v>0.120357268</v>
      </c>
      <c r="Z62" s="75">
        <v>0</v>
      </c>
      <c r="AA62" s="75">
        <v>0.73934162299999995</v>
      </c>
      <c r="AB62" s="75">
        <v>0</v>
      </c>
      <c r="AC62" s="778">
        <v>0</v>
      </c>
    </row>
    <row r="63" spans="1:29">
      <c r="A63" s="80" t="s">
        <v>1596</v>
      </c>
      <c r="B63" s="75">
        <v>0.52044121300000001</v>
      </c>
      <c r="C63" s="75">
        <v>1.3710348130000001</v>
      </c>
      <c r="D63" s="75">
        <v>1.0325747160000001</v>
      </c>
      <c r="E63" s="75">
        <v>0.96375381500000001</v>
      </c>
      <c r="F63" s="75">
        <v>0</v>
      </c>
      <c r="G63" s="75">
        <v>0</v>
      </c>
      <c r="H63" s="75">
        <v>0.72417191599999997</v>
      </c>
      <c r="I63" s="75">
        <v>1.208427548</v>
      </c>
      <c r="J63" s="75">
        <v>0.69182076400000003</v>
      </c>
      <c r="K63" s="75">
        <v>0</v>
      </c>
      <c r="L63" s="75">
        <v>1.7870414729999999</v>
      </c>
      <c r="M63" s="75">
        <v>1.069398391</v>
      </c>
      <c r="N63" s="75">
        <v>1.002243394</v>
      </c>
      <c r="O63" s="75">
        <v>0.853738361</v>
      </c>
      <c r="P63" s="75">
        <v>0</v>
      </c>
      <c r="Q63" s="75">
        <v>0.59324933300000005</v>
      </c>
      <c r="R63" s="75">
        <v>0.52559484199999995</v>
      </c>
      <c r="S63" s="75">
        <v>2.3235598890000002</v>
      </c>
      <c r="T63" s="75">
        <v>0.92437096799999996</v>
      </c>
      <c r="U63" s="75">
        <v>1.1658662980000001</v>
      </c>
      <c r="V63" s="75">
        <v>0.80509342399999995</v>
      </c>
      <c r="W63" s="75">
        <v>0.78341100100000005</v>
      </c>
      <c r="X63" s="75">
        <v>2.172862158</v>
      </c>
      <c r="Y63" s="75">
        <v>0.47376775500000001</v>
      </c>
      <c r="Z63" s="75">
        <v>2.5065905270000002</v>
      </c>
      <c r="AA63" s="75">
        <v>0.94725169200000003</v>
      </c>
      <c r="AB63" s="75">
        <v>1.1887377299999999</v>
      </c>
      <c r="AC63" s="778">
        <v>0</v>
      </c>
    </row>
    <row r="64" spans="1:29">
      <c r="A64" s="80" t="s">
        <v>1597</v>
      </c>
      <c r="B64" s="75">
        <v>0.15654596100000001</v>
      </c>
      <c r="C64" s="75">
        <v>0</v>
      </c>
      <c r="D64" s="75">
        <v>1.257662949</v>
      </c>
      <c r="E64" s="75">
        <v>0</v>
      </c>
      <c r="F64" s="75">
        <v>0</v>
      </c>
      <c r="G64" s="75">
        <v>0</v>
      </c>
      <c r="H64" s="75">
        <v>0</v>
      </c>
      <c r="I64" s="75">
        <v>1.3018231929999999</v>
      </c>
      <c r="J64" s="75">
        <v>0.11723831799999999</v>
      </c>
      <c r="K64" s="75">
        <v>0</v>
      </c>
      <c r="L64" s="75">
        <v>0</v>
      </c>
      <c r="M64" s="75">
        <v>0.99345359700000002</v>
      </c>
      <c r="N64" s="75">
        <v>1.1027853949999999</v>
      </c>
      <c r="O64" s="75">
        <v>0.142501398</v>
      </c>
      <c r="P64" s="75">
        <v>0.70589778299999995</v>
      </c>
      <c r="Q64" s="75">
        <v>0</v>
      </c>
      <c r="R64" s="75">
        <v>0</v>
      </c>
      <c r="S64" s="75">
        <v>0</v>
      </c>
      <c r="T64" s="75">
        <v>0</v>
      </c>
      <c r="U64" s="75">
        <v>0</v>
      </c>
      <c r="V64" s="75">
        <v>0</v>
      </c>
      <c r="W64" s="75">
        <v>0</v>
      </c>
      <c r="X64" s="75">
        <v>0</v>
      </c>
      <c r="Y64" s="75">
        <v>0</v>
      </c>
      <c r="Z64" s="75">
        <v>0</v>
      </c>
      <c r="AA64" s="75">
        <v>0</v>
      </c>
      <c r="AB64" s="75">
        <v>0</v>
      </c>
      <c r="AC64" s="778">
        <v>0</v>
      </c>
    </row>
    <row r="65" spans="1:29">
      <c r="A65" s="80" t="s">
        <v>1598</v>
      </c>
      <c r="B65" s="75">
        <v>0.66959504999999997</v>
      </c>
      <c r="C65" s="75">
        <v>0.62861798199999996</v>
      </c>
      <c r="D65" s="75">
        <v>0.81708329400000002</v>
      </c>
      <c r="E65" s="75">
        <v>1.127773044</v>
      </c>
      <c r="F65" s="75">
        <v>0.79176443500000004</v>
      </c>
      <c r="G65" s="75">
        <v>0</v>
      </c>
      <c r="H65" s="75">
        <v>0.327694282</v>
      </c>
      <c r="I65" s="75">
        <v>0.72313348499999996</v>
      </c>
      <c r="J65" s="75">
        <v>0.65248024599999999</v>
      </c>
      <c r="K65" s="75">
        <v>1.794472939</v>
      </c>
      <c r="L65" s="75">
        <v>1.3752095209999999</v>
      </c>
      <c r="M65" s="75">
        <v>0.52970061599999996</v>
      </c>
      <c r="N65" s="75">
        <v>0.56665180299999995</v>
      </c>
      <c r="O65" s="75">
        <v>0.67933047300000005</v>
      </c>
      <c r="P65" s="75">
        <v>0.63717112499999995</v>
      </c>
      <c r="Q65" s="75">
        <v>0.36909679200000001</v>
      </c>
      <c r="R65" s="75">
        <v>0.32700478399999999</v>
      </c>
      <c r="S65" s="75">
        <v>1.4456291029999999</v>
      </c>
      <c r="T65" s="75">
        <v>0.70365495499999997</v>
      </c>
      <c r="U65" s="75">
        <v>0.84650296000000003</v>
      </c>
      <c r="V65" s="75">
        <v>0</v>
      </c>
      <c r="W65" s="75">
        <v>0</v>
      </c>
      <c r="X65" s="75">
        <v>0</v>
      </c>
      <c r="Y65" s="75">
        <v>7.9227722E-2</v>
      </c>
      <c r="Z65" s="75">
        <v>0</v>
      </c>
      <c r="AA65" s="75">
        <v>0.57449528699999997</v>
      </c>
      <c r="AB65" s="75">
        <v>0</v>
      </c>
      <c r="AC65" s="778">
        <v>0</v>
      </c>
    </row>
    <row r="66" spans="1:29">
      <c r="A66" s="80" t="s">
        <v>1599</v>
      </c>
      <c r="B66" s="75">
        <v>0.23968024600000001</v>
      </c>
      <c r="C66" s="75">
        <v>0.74072084900000001</v>
      </c>
      <c r="D66" s="75">
        <v>0.56932465300000001</v>
      </c>
      <c r="E66" s="75">
        <v>0</v>
      </c>
      <c r="F66" s="75">
        <v>0</v>
      </c>
      <c r="G66" s="75">
        <v>0</v>
      </c>
      <c r="H66" s="75">
        <v>0.36956957800000001</v>
      </c>
      <c r="I66" s="75">
        <v>0.75782008099999998</v>
      </c>
      <c r="J66" s="75">
        <v>6.4458489999999993E-2</v>
      </c>
      <c r="K66" s="75">
        <v>0.59400054599999996</v>
      </c>
      <c r="L66" s="75">
        <v>0</v>
      </c>
      <c r="M66" s="75">
        <v>0.62794677600000004</v>
      </c>
      <c r="N66" s="75">
        <v>0.569639652</v>
      </c>
      <c r="O66" s="75">
        <v>0</v>
      </c>
      <c r="P66" s="75">
        <v>0.87212230199999996</v>
      </c>
      <c r="Q66" s="75">
        <v>0.47753382</v>
      </c>
      <c r="R66" s="75">
        <v>0.423075592</v>
      </c>
      <c r="S66" s="75">
        <v>1.870340796</v>
      </c>
      <c r="T66" s="75">
        <v>0.53302665699999996</v>
      </c>
      <c r="U66" s="75">
        <v>0.66738662000000004</v>
      </c>
      <c r="V66" s="75">
        <v>0</v>
      </c>
      <c r="W66" s="75">
        <v>0</v>
      </c>
      <c r="X66" s="75">
        <v>0</v>
      </c>
      <c r="Y66" s="75">
        <v>0</v>
      </c>
      <c r="Z66" s="75">
        <v>0</v>
      </c>
      <c r="AA66" s="75">
        <v>0.48472052900000001</v>
      </c>
      <c r="AB66" s="75">
        <v>0</v>
      </c>
      <c r="AC66" s="778">
        <v>0</v>
      </c>
    </row>
    <row r="67" spans="1:29">
      <c r="A67" s="80" t="s">
        <v>1600</v>
      </c>
      <c r="B67" s="75">
        <v>0</v>
      </c>
      <c r="C67" s="75">
        <v>1.379170746</v>
      </c>
      <c r="D67" s="75">
        <v>0</v>
      </c>
      <c r="E67" s="75">
        <v>0</v>
      </c>
      <c r="F67" s="75">
        <v>0</v>
      </c>
      <c r="G67" s="75">
        <v>0</v>
      </c>
      <c r="H67" s="75">
        <v>0.74693716200000004</v>
      </c>
      <c r="I67" s="75">
        <v>1.2607277969999999</v>
      </c>
      <c r="J67" s="75">
        <v>0</v>
      </c>
      <c r="K67" s="75">
        <v>1.471670008</v>
      </c>
      <c r="L67" s="75">
        <v>2.0530460650000002</v>
      </c>
      <c r="M67" s="75">
        <v>1.1259329950000001</v>
      </c>
      <c r="N67" s="75">
        <v>1.036906176</v>
      </c>
      <c r="O67" s="75">
        <v>0</v>
      </c>
      <c r="P67" s="75">
        <v>0</v>
      </c>
      <c r="Q67" s="75">
        <v>1.1497492170000001</v>
      </c>
      <c r="R67" s="75">
        <v>1.018631163</v>
      </c>
      <c r="S67" s="75">
        <v>4.5031844310000002</v>
      </c>
      <c r="T67" s="75">
        <v>1.1077533589999999</v>
      </c>
      <c r="U67" s="75">
        <v>0</v>
      </c>
      <c r="V67" s="75">
        <v>0.82554865899999996</v>
      </c>
      <c r="W67" s="75">
        <v>0.80331534500000001</v>
      </c>
      <c r="X67" s="75">
        <v>2.2280686780000001</v>
      </c>
      <c r="Y67" s="75">
        <v>0</v>
      </c>
      <c r="Z67" s="75">
        <v>2.2660559669999998</v>
      </c>
      <c r="AA67" s="75">
        <v>0</v>
      </c>
      <c r="AB67" s="75">
        <v>1.59228711</v>
      </c>
      <c r="AC67" s="778">
        <v>0</v>
      </c>
    </row>
    <row r="68" spans="1:29">
      <c r="A68" s="80" t="s">
        <v>1601</v>
      </c>
      <c r="B68" s="75">
        <v>0</v>
      </c>
      <c r="C68" s="75">
        <v>0.66874400199999995</v>
      </c>
      <c r="D68" s="75">
        <v>0.71959910800000004</v>
      </c>
      <c r="E68" s="75">
        <v>1.1617266180000001</v>
      </c>
      <c r="F68" s="75">
        <v>0.50666348400000005</v>
      </c>
      <c r="G68" s="75">
        <v>0</v>
      </c>
      <c r="H68" s="75">
        <v>0</v>
      </c>
      <c r="I68" s="75">
        <v>1.0974675089999999</v>
      </c>
      <c r="J68" s="75">
        <v>0</v>
      </c>
      <c r="K68" s="75">
        <v>1.5463319499999999</v>
      </c>
      <c r="L68" s="75">
        <v>1.376841843</v>
      </c>
      <c r="M68" s="75">
        <v>0.58529347499999995</v>
      </c>
      <c r="N68" s="75">
        <v>0.64815089000000004</v>
      </c>
      <c r="O68" s="75">
        <v>0</v>
      </c>
      <c r="P68" s="75">
        <v>0</v>
      </c>
      <c r="Q68" s="75">
        <v>0.41391806599999997</v>
      </c>
      <c r="R68" s="75">
        <v>0.36671461500000002</v>
      </c>
      <c r="S68" s="75">
        <v>1.6211790939999999</v>
      </c>
      <c r="T68" s="75">
        <v>0.47416817</v>
      </c>
      <c r="U68" s="75">
        <v>0.94730771400000002</v>
      </c>
      <c r="V68" s="75">
        <v>0</v>
      </c>
      <c r="W68" s="75">
        <v>0</v>
      </c>
      <c r="X68" s="75">
        <v>0</v>
      </c>
      <c r="Y68" s="75">
        <v>0</v>
      </c>
      <c r="Z68" s="75">
        <v>0</v>
      </c>
      <c r="AA68" s="75">
        <v>0.52434505300000001</v>
      </c>
      <c r="AB68" s="75">
        <v>0</v>
      </c>
      <c r="AC68" s="778">
        <v>0</v>
      </c>
    </row>
    <row r="69" spans="1:29">
      <c r="A69" s="80" t="s">
        <v>1602</v>
      </c>
      <c r="B69" s="75">
        <v>0</v>
      </c>
      <c r="C69" s="75">
        <v>0</v>
      </c>
      <c r="D69" s="75">
        <v>0</v>
      </c>
      <c r="E69" s="75">
        <v>0</v>
      </c>
      <c r="F69" s="75">
        <v>0</v>
      </c>
      <c r="G69" s="75">
        <v>0</v>
      </c>
      <c r="H69" s="75">
        <v>0</v>
      </c>
      <c r="I69" s="75">
        <v>0</v>
      </c>
      <c r="J69" s="75">
        <v>0</v>
      </c>
      <c r="K69" s="75">
        <v>0</v>
      </c>
      <c r="L69" s="75">
        <v>0</v>
      </c>
      <c r="M69" s="75">
        <v>0.49602617999999998</v>
      </c>
      <c r="N69" s="75">
        <v>0.55103911900000002</v>
      </c>
      <c r="O69" s="75">
        <v>0</v>
      </c>
      <c r="P69" s="75">
        <v>0.69594675800000005</v>
      </c>
      <c r="Q69" s="75">
        <v>0</v>
      </c>
      <c r="R69" s="75">
        <v>0</v>
      </c>
      <c r="S69" s="75">
        <v>0</v>
      </c>
      <c r="T69" s="75">
        <v>0</v>
      </c>
      <c r="U69" s="75">
        <v>0</v>
      </c>
      <c r="V69" s="75">
        <v>0</v>
      </c>
      <c r="W69" s="75">
        <v>0</v>
      </c>
      <c r="X69" s="75">
        <v>0</v>
      </c>
      <c r="Y69" s="75">
        <v>0</v>
      </c>
      <c r="Z69" s="75">
        <v>0</v>
      </c>
      <c r="AA69" s="75">
        <v>0</v>
      </c>
      <c r="AB69" s="75">
        <v>0</v>
      </c>
      <c r="AC69" s="778">
        <v>0</v>
      </c>
    </row>
    <row r="70" spans="1:29">
      <c r="A70" s="80" t="s">
        <v>1603</v>
      </c>
      <c r="B70" s="75">
        <v>0.25897500400000001</v>
      </c>
      <c r="C70" s="75">
        <v>2.311319718</v>
      </c>
      <c r="D70" s="75">
        <v>2.1842012369999999</v>
      </c>
      <c r="E70" s="75">
        <v>0</v>
      </c>
      <c r="F70" s="75">
        <v>1.7281941999999999</v>
      </c>
      <c r="G70" s="75">
        <v>0</v>
      </c>
      <c r="H70" s="75">
        <v>5.40823754</v>
      </c>
      <c r="I70" s="75">
        <v>1.414085373</v>
      </c>
      <c r="J70" s="75">
        <v>0.107749265</v>
      </c>
      <c r="K70" s="75">
        <v>2.2569717800000002</v>
      </c>
      <c r="L70" s="75">
        <v>1.7127210129999999</v>
      </c>
      <c r="M70" s="75">
        <v>1.734061063</v>
      </c>
      <c r="N70" s="75">
        <v>1.843439206</v>
      </c>
      <c r="O70" s="75">
        <v>0.172787675</v>
      </c>
      <c r="P70" s="75">
        <v>1.7865900020000001</v>
      </c>
      <c r="Q70" s="75">
        <v>1.0911587810000001</v>
      </c>
      <c r="R70" s="75">
        <v>0.96672241400000003</v>
      </c>
      <c r="S70" s="75">
        <v>4.2737052249999996</v>
      </c>
      <c r="T70" s="75">
        <v>2.7851030360000002</v>
      </c>
      <c r="U70" s="75">
        <v>0</v>
      </c>
      <c r="V70" s="75">
        <v>0.99841036699999997</v>
      </c>
      <c r="W70" s="75">
        <v>0.97152161599999998</v>
      </c>
      <c r="X70" s="75">
        <v>2.6946041759999999</v>
      </c>
      <c r="Y70" s="75">
        <v>0.175684066</v>
      </c>
      <c r="Z70" s="75">
        <v>0</v>
      </c>
      <c r="AA70" s="75">
        <v>0</v>
      </c>
      <c r="AB70" s="75">
        <v>0</v>
      </c>
      <c r="AC70" s="778">
        <v>0.39202961400000003</v>
      </c>
    </row>
    <row r="71" spans="1:29">
      <c r="A71" s="80" t="s">
        <v>1604</v>
      </c>
      <c r="B71" s="75">
        <v>0.28718130400000003</v>
      </c>
      <c r="C71" s="75">
        <v>0.928337627</v>
      </c>
      <c r="D71" s="75">
        <v>0.78525340600000004</v>
      </c>
      <c r="E71" s="75">
        <v>1.2922582760000001</v>
      </c>
      <c r="F71" s="75">
        <v>0</v>
      </c>
      <c r="G71" s="75">
        <v>0.28827311100000003</v>
      </c>
      <c r="H71" s="75">
        <v>0.65826829399999998</v>
      </c>
      <c r="I71" s="75">
        <v>1.3122928970000001</v>
      </c>
      <c r="J71" s="75">
        <v>0.23199784100000001</v>
      </c>
      <c r="K71" s="75">
        <v>0.83166267900000002</v>
      </c>
      <c r="L71" s="75">
        <v>0</v>
      </c>
      <c r="M71" s="75">
        <v>0.66551711700000005</v>
      </c>
      <c r="N71" s="75">
        <v>0.66219315199999995</v>
      </c>
      <c r="O71" s="75">
        <v>0.27252651999999999</v>
      </c>
      <c r="P71" s="75">
        <v>0.865868215</v>
      </c>
      <c r="Q71" s="75">
        <v>0.69246629599999998</v>
      </c>
      <c r="R71" s="75">
        <v>0.61349704599999999</v>
      </c>
      <c r="S71" s="75">
        <v>2.712159658</v>
      </c>
      <c r="T71" s="75">
        <v>0.82610474</v>
      </c>
      <c r="U71" s="75">
        <v>0</v>
      </c>
      <c r="V71" s="75">
        <v>0.52893635000000006</v>
      </c>
      <c r="W71" s="75">
        <v>0.51469126799999998</v>
      </c>
      <c r="X71" s="75">
        <v>1.4275433689999999</v>
      </c>
      <c r="Y71" s="75">
        <v>0.30969249300000001</v>
      </c>
      <c r="Z71" s="75">
        <v>0</v>
      </c>
      <c r="AA71" s="75">
        <v>0.66158117000000005</v>
      </c>
      <c r="AB71" s="75">
        <v>1.362553981</v>
      </c>
      <c r="AC71" s="778">
        <v>0.217892905</v>
      </c>
    </row>
    <row r="72" spans="1:29">
      <c r="A72" s="80" t="s">
        <v>1605</v>
      </c>
      <c r="B72" s="75">
        <v>0.37260089200000002</v>
      </c>
      <c r="C72" s="75">
        <v>1.3296408900000001</v>
      </c>
      <c r="D72" s="75">
        <v>0.95137508800000004</v>
      </c>
      <c r="E72" s="75">
        <v>0</v>
      </c>
      <c r="F72" s="75">
        <v>0</v>
      </c>
      <c r="G72" s="75">
        <v>0.33572544399999998</v>
      </c>
      <c r="H72" s="75">
        <v>0.559094761</v>
      </c>
      <c r="I72" s="75">
        <v>0</v>
      </c>
      <c r="J72" s="75">
        <v>0.29718481800000002</v>
      </c>
      <c r="K72" s="75">
        <v>0</v>
      </c>
      <c r="L72" s="75">
        <v>0</v>
      </c>
      <c r="M72" s="75">
        <v>0.69160966499999998</v>
      </c>
      <c r="N72" s="75">
        <v>0.70725949600000004</v>
      </c>
      <c r="O72" s="75">
        <v>0</v>
      </c>
      <c r="P72" s="75">
        <v>0</v>
      </c>
      <c r="Q72" s="75">
        <v>0.47128346500000001</v>
      </c>
      <c r="R72" s="75">
        <v>0.41753803099999998</v>
      </c>
      <c r="S72" s="75">
        <v>1.845860238</v>
      </c>
      <c r="T72" s="75">
        <v>0.66851723100000005</v>
      </c>
      <c r="U72" s="75">
        <v>0.72634580900000001</v>
      </c>
      <c r="V72" s="75">
        <v>0.82626745499999998</v>
      </c>
      <c r="W72" s="75">
        <v>0.80401478199999998</v>
      </c>
      <c r="X72" s="75">
        <v>2.230008631</v>
      </c>
      <c r="Y72" s="75">
        <v>0.22285418700000001</v>
      </c>
      <c r="Z72" s="75">
        <v>1.966777904</v>
      </c>
      <c r="AA72" s="75">
        <v>0</v>
      </c>
      <c r="AB72" s="75">
        <v>2.618031808</v>
      </c>
      <c r="AC72" s="778">
        <v>0.74927448600000002</v>
      </c>
    </row>
    <row r="73" spans="1:29">
      <c r="A73" s="80" t="s">
        <v>1606</v>
      </c>
      <c r="B73" s="75">
        <v>0</v>
      </c>
      <c r="C73" s="75">
        <v>0</v>
      </c>
      <c r="D73" s="75">
        <v>6.2043335989999999</v>
      </c>
      <c r="E73" s="75">
        <v>0</v>
      </c>
      <c r="F73" s="75">
        <v>0</v>
      </c>
      <c r="G73" s="75">
        <v>0</v>
      </c>
      <c r="H73" s="75">
        <v>0</v>
      </c>
      <c r="I73" s="75">
        <v>2.1498712950000001</v>
      </c>
      <c r="J73" s="75">
        <v>0</v>
      </c>
      <c r="K73" s="75">
        <v>7.8892205549999996</v>
      </c>
      <c r="L73" s="75">
        <v>0</v>
      </c>
      <c r="M73" s="75">
        <v>4.0172261139999996</v>
      </c>
      <c r="N73" s="75">
        <v>6.3383619549999999</v>
      </c>
      <c r="O73" s="75">
        <v>0</v>
      </c>
      <c r="P73" s="75">
        <v>0</v>
      </c>
      <c r="Q73" s="75">
        <v>7.5224471179999997</v>
      </c>
      <c r="R73" s="75">
        <v>6.6645829750000001</v>
      </c>
      <c r="S73" s="75">
        <v>29.462917879999999</v>
      </c>
      <c r="T73" s="75">
        <v>0</v>
      </c>
      <c r="U73" s="75">
        <v>0</v>
      </c>
      <c r="V73" s="75">
        <v>0</v>
      </c>
      <c r="W73" s="75">
        <v>0</v>
      </c>
      <c r="X73" s="75">
        <v>0</v>
      </c>
      <c r="Y73" s="75">
        <v>0</v>
      </c>
      <c r="Z73" s="75">
        <v>0</v>
      </c>
      <c r="AA73" s="75">
        <v>0</v>
      </c>
      <c r="AB73" s="75">
        <v>0</v>
      </c>
      <c r="AC73" s="778">
        <v>0</v>
      </c>
    </row>
    <row r="74" spans="1:29">
      <c r="A74" s="80" t="s">
        <v>1607</v>
      </c>
      <c r="B74" s="75">
        <v>0.17883039100000001</v>
      </c>
      <c r="C74" s="75">
        <v>0.91732914399999999</v>
      </c>
      <c r="D74" s="75">
        <v>0.63510569299999997</v>
      </c>
      <c r="E74" s="75">
        <v>0</v>
      </c>
      <c r="F74" s="75">
        <v>0</v>
      </c>
      <c r="G74" s="75">
        <v>0.46918251300000002</v>
      </c>
      <c r="H74" s="75">
        <v>0</v>
      </c>
      <c r="I74" s="75">
        <v>0</v>
      </c>
      <c r="J74" s="75">
        <v>0.142697511</v>
      </c>
      <c r="K74" s="75">
        <v>0</v>
      </c>
      <c r="L74" s="75">
        <v>0</v>
      </c>
      <c r="M74" s="75">
        <v>0.60109160900000003</v>
      </c>
      <c r="N74" s="75">
        <v>0.60403403899999997</v>
      </c>
      <c r="O74" s="75">
        <v>0</v>
      </c>
      <c r="P74" s="75">
        <v>0</v>
      </c>
      <c r="Q74" s="75">
        <v>0.37011079299999999</v>
      </c>
      <c r="R74" s="75">
        <v>0.32790314799999998</v>
      </c>
      <c r="S74" s="75">
        <v>1.449600607</v>
      </c>
      <c r="T74" s="75">
        <v>0.49586466400000001</v>
      </c>
      <c r="U74" s="75">
        <v>0</v>
      </c>
      <c r="V74" s="75">
        <v>0</v>
      </c>
      <c r="W74" s="75">
        <v>0</v>
      </c>
      <c r="X74" s="75">
        <v>0</v>
      </c>
      <c r="Y74" s="75">
        <v>0</v>
      </c>
      <c r="Z74" s="75">
        <v>0</v>
      </c>
      <c r="AA74" s="75">
        <v>0</v>
      </c>
      <c r="AB74" s="75">
        <v>0</v>
      </c>
      <c r="AC74" s="778">
        <v>0</v>
      </c>
    </row>
    <row r="75" spans="1:29">
      <c r="A75" s="80" t="s">
        <v>1608</v>
      </c>
      <c r="B75" s="75">
        <v>0.79671843499999995</v>
      </c>
      <c r="C75" s="75">
        <v>2.330296143</v>
      </c>
      <c r="D75" s="75">
        <v>0</v>
      </c>
      <c r="E75" s="75">
        <v>2.2072777480000001</v>
      </c>
      <c r="F75" s="75">
        <v>0</v>
      </c>
      <c r="G75" s="75">
        <v>0</v>
      </c>
      <c r="H75" s="75">
        <v>1.0165445909999999</v>
      </c>
      <c r="I75" s="75">
        <v>2.2880014790000001</v>
      </c>
      <c r="J75" s="75">
        <v>0.44968328800000001</v>
      </c>
      <c r="K75" s="75">
        <v>0</v>
      </c>
      <c r="L75" s="75">
        <v>6.3713076629999996</v>
      </c>
      <c r="M75" s="75">
        <v>1.2499972420000001</v>
      </c>
      <c r="N75" s="75">
        <v>2.1913433310000001</v>
      </c>
      <c r="O75" s="75">
        <v>0</v>
      </c>
      <c r="P75" s="75">
        <v>0</v>
      </c>
      <c r="Q75" s="75">
        <v>0.69431974699999999</v>
      </c>
      <c r="R75" s="75">
        <v>0.61513912900000001</v>
      </c>
      <c r="S75" s="75">
        <v>2.7194190100000002</v>
      </c>
      <c r="T75" s="75">
        <v>0</v>
      </c>
      <c r="U75" s="75">
        <v>0</v>
      </c>
      <c r="V75" s="75">
        <v>0.98729287499999996</v>
      </c>
      <c r="W75" s="75">
        <v>0.96070353600000002</v>
      </c>
      <c r="X75" s="75">
        <v>2.6645992409999999</v>
      </c>
      <c r="Y75" s="75">
        <v>0.23247210300000001</v>
      </c>
      <c r="Z75" s="75">
        <v>0</v>
      </c>
      <c r="AA75" s="75">
        <v>0</v>
      </c>
      <c r="AB75" s="75">
        <v>2.0354646430000001</v>
      </c>
      <c r="AC75" s="778">
        <v>0</v>
      </c>
    </row>
    <row r="76" spans="1:29">
      <c r="A76" s="80" t="s">
        <v>1609</v>
      </c>
      <c r="B76" s="75">
        <v>0</v>
      </c>
      <c r="C76" s="75">
        <v>4.2869288640000001</v>
      </c>
      <c r="D76" s="75">
        <v>0</v>
      </c>
      <c r="E76" s="75">
        <v>0</v>
      </c>
      <c r="F76" s="75">
        <v>0</v>
      </c>
      <c r="G76" s="75">
        <v>0</v>
      </c>
      <c r="H76" s="75">
        <v>1.3957315990000001</v>
      </c>
      <c r="I76" s="75">
        <v>0</v>
      </c>
      <c r="J76" s="75">
        <v>0</v>
      </c>
      <c r="K76" s="75">
        <v>0</v>
      </c>
      <c r="L76" s="75">
        <v>0</v>
      </c>
      <c r="M76" s="75">
        <v>2.5388686649999999</v>
      </c>
      <c r="N76" s="75">
        <v>0</v>
      </c>
      <c r="O76" s="75">
        <v>0</v>
      </c>
      <c r="P76" s="75">
        <v>7.5419526250000004</v>
      </c>
      <c r="Q76" s="75">
        <v>2.8793262419999999</v>
      </c>
      <c r="R76" s="75">
        <v>2.5509662409999998</v>
      </c>
      <c r="S76" s="75">
        <v>11.277361109999999</v>
      </c>
      <c r="T76" s="75">
        <v>0</v>
      </c>
      <c r="U76" s="75">
        <v>0</v>
      </c>
      <c r="V76" s="75">
        <v>1.730178175</v>
      </c>
      <c r="W76" s="75">
        <v>1.6835817749999999</v>
      </c>
      <c r="X76" s="75">
        <v>4.6695682380000001</v>
      </c>
      <c r="Y76" s="75">
        <v>0</v>
      </c>
      <c r="Z76" s="75">
        <v>0</v>
      </c>
      <c r="AA76" s="75">
        <v>0</v>
      </c>
      <c r="AB76" s="75">
        <v>2.6923797920000001</v>
      </c>
      <c r="AC76" s="778">
        <v>0</v>
      </c>
    </row>
    <row r="77" spans="1:29">
      <c r="A77" s="80" t="s">
        <v>1610</v>
      </c>
      <c r="B77" s="75">
        <v>1.6369987429999999</v>
      </c>
      <c r="C77" s="75">
        <v>3.358457617</v>
      </c>
      <c r="D77" s="75">
        <v>5.3206550750000003</v>
      </c>
      <c r="E77" s="75">
        <v>9.6260494219999995</v>
      </c>
      <c r="F77" s="75">
        <v>4.2120485929999996</v>
      </c>
      <c r="G77" s="75">
        <v>0.23261738200000001</v>
      </c>
      <c r="H77" s="75">
        <v>0.35458862000000002</v>
      </c>
      <c r="I77" s="75">
        <v>7.3257120100000002</v>
      </c>
      <c r="J77" s="75">
        <v>0.36272716300000002</v>
      </c>
      <c r="K77" s="75">
        <v>4.6559037180000002</v>
      </c>
      <c r="L77" s="75">
        <v>0</v>
      </c>
      <c r="M77" s="75">
        <v>0.83827387399999997</v>
      </c>
      <c r="N77" s="75">
        <v>0.80637598399999999</v>
      </c>
      <c r="O77" s="75">
        <v>0.27927945799999998</v>
      </c>
      <c r="P77" s="75">
        <v>4.2727582999999996</v>
      </c>
      <c r="Q77" s="75">
        <v>0</v>
      </c>
      <c r="R77" s="75">
        <v>0</v>
      </c>
      <c r="S77" s="75">
        <v>0</v>
      </c>
      <c r="T77" s="75">
        <v>1.116626039</v>
      </c>
      <c r="U77" s="75">
        <v>0</v>
      </c>
      <c r="V77" s="75">
        <v>0.407950168</v>
      </c>
      <c r="W77" s="75">
        <v>0.396963432</v>
      </c>
      <c r="X77" s="75">
        <v>1.101014435</v>
      </c>
      <c r="Y77" s="75">
        <v>0</v>
      </c>
      <c r="Z77" s="75">
        <v>0</v>
      </c>
      <c r="AA77" s="75">
        <v>0</v>
      </c>
      <c r="AB77" s="75">
        <v>0.87340810800000002</v>
      </c>
      <c r="AC77" s="778">
        <v>0</v>
      </c>
    </row>
    <row r="78" spans="1:29">
      <c r="A78" s="80" t="s">
        <v>1611</v>
      </c>
      <c r="B78" s="75">
        <v>0.27213558399999999</v>
      </c>
      <c r="C78" s="75">
        <v>0.84586578499999998</v>
      </c>
      <c r="D78" s="75">
        <v>0.70707029899999996</v>
      </c>
      <c r="E78" s="75">
        <v>0.962653337</v>
      </c>
      <c r="F78" s="75">
        <v>0.711868681</v>
      </c>
      <c r="G78" s="75">
        <v>0</v>
      </c>
      <c r="H78" s="75">
        <v>0.50146189799999996</v>
      </c>
      <c r="I78" s="75">
        <v>0.88965294100000003</v>
      </c>
      <c r="J78" s="75">
        <v>0.212154282</v>
      </c>
      <c r="K78" s="75">
        <v>1.148147566</v>
      </c>
      <c r="L78" s="75">
        <v>0.99438166900000002</v>
      </c>
      <c r="M78" s="75">
        <v>0.62874825599999995</v>
      </c>
      <c r="N78" s="75">
        <v>0.63282871600000001</v>
      </c>
      <c r="O78" s="75">
        <v>0.25364772899999999</v>
      </c>
      <c r="P78" s="75">
        <v>0.79109326499999999</v>
      </c>
      <c r="Q78" s="75">
        <v>0.51309777700000003</v>
      </c>
      <c r="R78" s="75">
        <v>0.454583815</v>
      </c>
      <c r="S78" s="75">
        <v>2.009632962</v>
      </c>
      <c r="T78" s="75">
        <v>0.64231706799999999</v>
      </c>
      <c r="U78" s="75">
        <v>0.69425457599999996</v>
      </c>
      <c r="V78" s="75">
        <v>0.54775188799999996</v>
      </c>
      <c r="W78" s="75">
        <v>0.53300007500000002</v>
      </c>
      <c r="X78" s="75">
        <v>1.4783245199999999</v>
      </c>
      <c r="Y78" s="75">
        <v>0.150043335</v>
      </c>
      <c r="Z78" s="75">
        <v>0</v>
      </c>
      <c r="AA78" s="75">
        <v>0.53760228899999996</v>
      </c>
      <c r="AB78" s="75">
        <v>0</v>
      </c>
      <c r="AC78" s="778">
        <v>0</v>
      </c>
    </row>
    <row r="79" spans="1:29">
      <c r="A79" s="80" t="s">
        <v>1612</v>
      </c>
      <c r="B79" s="75">
        <v>0.175507408</v>
      </c>
      <c r="C79" s="75">
        <v>0</v>
      </c>
      <c r="D79" s="75">
        <v>1.3181253850000001</v>
      </c>
      <c r="E79" s="75">
        <v>0</v>
      </c>
      <c r="F79" s="75">
        <v>716.92570390000003</v>
      </c>
      <c r="G79" s="75">
        <v>0</v>
      </c>
      <c r="H79" s="75">
        <v>0.41357983599999998</v>
      </c>
      <c r="I79" s="75">
        <v>1.208647096</v>
      </c>
      <c r="J79" s="75">
        <v>0.11293508200000001</v>
      </c>
      <c r="K79" s="75">
        <v>0</v>
      </c>
      <c r="L79" s="75">
        <v>0.34741854799999999</v>
      </c>
      <c r="M79" s="75">
        <v>0.83119711900000004</v>
      </c>
      <c r="N79" s="75">
        <v>0.72709410200000002</v>
      </c>
      <c r="O79" s="75">
        <v>0.13778205700000001</v>
      </c>
      <c r="P79" s="75">
        <v>1.2541807309999999</v>
      </c>
      <c r="Q79" s="75">
        <v>0</v>
      </c>
      <c r="R79" s="75">
        <v>0</v>
      </c>
      <c r="S79" s="75">
        <v>0</v>
      </c>
      <c r="T79" s="75">
        <v>1.608367015</v>
      </c>
      <c r="U79" s="75">
        <v>0</v>
      </c>
      <c r="V79" s="75">
        <v>0</v>
      </c>
      <c r="W79" s="75">
        <v>0</v>
      </c>
      <c r="X79" s="75">
        <v>0</v>
      </c>
      <c r="Y79" s="75">
        <v>0.11577778399999999</v>
      </c>
      <c r="Z79" s="75">
        <v>0</v>
      </c>
      <c r="AA79" s="75">
        <v>1.164581708</v>
      </c>
      <c r="AB79" s="75">
        <v>0</v>
      </c>
      <c r="AC79" s="778">
        <v>0</v>
      </c>
    </row>
    <row r="80" spans="1:29">
      <c r="A80" s="80" t="s">
        <v>1613</v>
      </c>
      <c r="B80" s="75">
        <v>0.23513837000000001</v>
      </c>
      <c r="C80" s="75">
        <v>0.523834358</v>
      </c>
      <c r="D80" s="75">
        <v>0.55951481999999997</v>
      </c>
      <c r="E80" s="75">
        <v>0.80627126999999998</v>
      </c>
      <c r="F80" s="75">
        <v>0.46980139799999998</v>
      </c>
      <c r="G80" s="75">
        <v>0.16295875000000001</v>
      </c>
      <c r="H80" s="75">
        <v>0.377512399</v>
      </c>
      <c r="I80" s="75">
        <v>0.76278290299999996</v>
      </c>
      <c r="J80" s="75">
        <v>0.17415086900000001</v>
      </c>
      <c r="K80" s="75">
        <v>0.58420446999999998</v>
      </c>
      <c r="L80" s="75">
        <v>0.89111188299999999</v>
      </c>
      <c r="M80" s="75">
        <v>0.52553653300000003</v>
      </c>
      <c r="N80" s="75">
        <v>0.52148498700000001</v>
      </c>
      <c r="O80" s="75">
        <v>0.26012518099999998</v>
      </c>
      <c r="P80" s="75">
        <v>0.61840006999999997</v>
      </c>
      <c r="Q80" s="75">
        <v>0.458359036</v>
      </c>
      <c r="R80" s="75">
        <v>0.40608751100000001</v>
      </c>
      <c r="S80" s="75">
        <v>1.795239558</v>
      </c>
      <c r="T80" s="75">
        <v>0.553133031</v>
      </c>
      <c r="U80" s="75">
        <v>0.69622442900000003</v>
      </c>
      <c r="V80" s="75">
        <v>0.49326331600000001</v>
      </c>
      <c r="W80" s="75">
        <v>0.47997896400000001</v>
      </c>
      <c r="X80" s="75">
        <v>1.3312656140000001</v>
      </c>
      <c r="Y80" s="75">
        <v>0.12822662100000001</v>
      </c>
      <c r="Z80" s="75">
        <v>0</v>
      </c>
      <c r="AA80" s="75">
        <v>0.50129699000000005</v>
      </c>
      <c r="AB80" s="75">
        <v>0</v>
      </c>
      <c r="AC80" s="778">
        <v>0</v>
      </c>
    </row>
    <row r="81" spans="1:29">
      <c r="A81" s="80" t="s">
        <v>1614</v>
      </c>
      <c r="B81" s="75">
        <v>0.61691398600000003</v>
      </c>
      <c r="C81" s="75">
        <v>0.88030066799999995</v>
      </c>
      <c r="D81" s="75">
        <v>1.0931001810000001</v>
      </c>
      <c r="E81" s="75">
        <v>0</v>
      </c>
      <c r="F81" s="75">
        <v>0</v>
      </c>
      <c r="G81" s="75">
        <v>0.419209785</v>
      </c>
      <c r="H81" s="75">
        <v>0.74578065100000002</v>
      </c>
      <c r="I81" s="75">
        <v>1.2236754999999999</v>
      </c>
      <c r="J81" s="75">
        <v>1.1127186609999999</v>
      </c>
      <c r="K81" s="75">
        <v>0</v>
      </c>
      <c r="L81" s="75">
        <v>0</v>
      </c>
      <c r="M81" s="75">
        <v>1.001997684</v>
      </c>
      <c r="N81" s="75">
        <v>0.95582069599999997</v>
      </c>
      <c r="O81" s="75">
        <v>0</v>
      </c>
      <c r="P81" s="75">
        <v>0</v>
      </c>
      <c r="Q81" s="75">
        <v>0.55856266399999999</v>
      </c>
      <c r="R81" s="75">
        <v>0.49486385999999999</v>
      </c>
      <c r="S81" s="75">
        <v>2.1877037669999999</v>
      </c>
      <c r="T81" s="75">
        <v>0.94054181000000003</v>
      </c>
      <c r="U81" s="75">
        <v>0</v>
      </c>
      <c r="V81" s="75">
        <v>1.027763282</v>
      </c>
      <c r="W81" s="75">
        <v>1.0000840120000001</v>
      </c>
      <c r="X81" s="75">
        <v>2.7738245959999999</v>
      </c>
      <c r="Y81" s="75">
        <v>0.32849980499999998</v>
      </c>
      <c r="Z81" s="75">
        <v>0</v>
      </c>
      <c r="AA81" s="75">
        <v>0</v>
      </c>
      <c r="AB81" s="75">
        <v>1.130172094</v>
      </c>
      <c r="AC81" s="778">
        <v>0.75560866199999999</v>
      </c>
    </row>
    <row r="82" spans="1:29">
      <c r="A82" s="80" t="s">
        <v>1615</v>
      </c>
      <c r="B82" s="75">
        <v>0.24308242699999999</v>
      </c>
      <c r="C82" s="75">
        <v>0.42784150700000001</v>
      </c>
      <c r="D82" s="75">
        <v>0.49555211700000001</v>
      </c>
      <c r="E82" s="75">
        <v>1.017889295</v>
      </c>
      <c r="F82" s="75">
        <v>0</v>
      </c>
      <c r="G82" s="75">
        <v>0</v>
      </c>
      <c r="H82" s="75">
        <v>0</v>
      </c>
      <c r="I82" s="75">
        <v>0</v>
      </c>
      <c r="J82" s="75">
        <v>0.36973273000000001</v>
      </c>
      <c r="K82" s="75">
        <v>0</v>
      </c>
      <c r="L82" s="75">
        <v>0</v>
      </c>
      <c r="M82" s="75">
        <v>0.43044921200000003</v>
      </c>
      <c r="N82" s="75">
        <v>0.45282637999999997</v>
      </c>
      <c r="O82" s="75">
        <v>0</v>
      </c>
      <c r="P82" s="75">
        <v>0.47798677000000001</v>
      </c>
      <c r="Q82" s="75">
        <v>0.41999715399999998</v>
      </c>
      <c r="R82" s="75">
        <v>0.37210043999999998</v>
      </c>
      <c r="S82" s="75">
        <v>1.6449888539999999</v>
      </c>
      <c r="T82" s="75">
        <v>0.36358939200000001</v>
      </c>
      <c r="U82" s="75">
        <v>0.62652010899999999</v>
      </c>
      <c r="V82" s="75">
        <v>0</v>
      </c>
      <c r="W82" s="75">
        <v>0</v>
      </c>
      <c r="X82" s="75">
        <v>0</v>
      </c>
      <c r="Y82" s="75">
        <v>9.1395750999999997E-2</v>
      </c>
      <c r="Z82" s="75">
        <v>0</v>
      </c>
      <c r="AA82" s="75">
        <v>0.37739483800000001</v>
      </c>
      <c r="AB82" s="75">
        <v>0</v>
      </c>
      <c r="AC82" s="778">
        <v>0</v>
      </c>
    </row>
    <row r="83" spans="1:29">
      <c r="A83" s="80" t="s">
        <v>1616</v>
      </c>
      <c r="B83" s="75">
        <v>0.44102706899999999</v>
      </c>
      <c r="C83" s="75">
        <v>1.477058778</v>
      </c>
      <c r="D83" s="75">
        <v>0.85271366299999996</v>
      </c>
      <c r="E83" s="75">
        <v>1.129430887</v>
      </c>
      <c r="F83" s="75">
        <v>0</v>
      </c>
      <c r="G83" s="75">
        <v>0</v>
      </c>
      <c r="H83" s="75">
        <v>0.494204853</v>
      </c>
      <c r="I83" s="75">
        <v>2.1704449989999999</v>
      </c>
      <c r="J83" s="75">
        <v>0.32163005300000003</v>
      </c>
      <c r="K83" s="75">
        <v>1.139314234</v>
      </c>
      <c r="L83" s="75">
        <v>0</v>
      </c>
      <c r="M83" s="75">
        <v>0.66784509299999995</v>
      </c>
      <c r="N83" s="75">
        <v>0.69730747500000001</v>
      </c>
      <c r="O83" s="75">
        <v>0.38297899699999999</v>
      </c>
      <c r="P83" s="75">
        <v>0</v>
      </c>
      <c r="Q83" s="75">
        <v>0.45485558999999998</v>
      </c>
      <c r="R83" s="75">
        <v>0.4029836</v>
      </c>
      <c r="S83" s="75">
        <v>1.7815177259999999</v>
      </c>
      <c r="T83" s="75">
        <v>0.76376254700000001</v>
      </c>
      <c r="U83" s="75">
        <v>0</v>
      </c>
      <c r="V83" s="75">
        <v>0.65941353000000003</v>
      </c>
      <c r="W83" s="75">
        <v>0.64165449399999996</v>
      </c>
      <c r="X83" s="75">
        <v>1.7796875029999999</v>
      </c>
      <c r="Y83" s="75">
        <v>0.26575643199999999</v>
      </c>
      <c r="Z83" s="75">
        <v>0</v>
      </c>
      <c r="AA83" s="75">
        <v>0.61548670800000005</v>
      </c>
      <c r="AB83" s="75">
        <v>0</v>
      </c>
      <c r="AC83" s="778">
        <v>0</v>
      </c>
    </row>
    <row r="84" spans="1:29">
      <c r="A84" s="80" t="s">
        <v>1617</v>
      </c>
      <c r="B84" s="75">
        <v>0.37340189800000001</v>
      </c>
      <c r="C84" s="75">
        <v>0.71598852000000002</v>
      </c>
      <c r="D84" s="75">
        <v>0.74265103499999996</v>
      </c>
      <c r="E84" s="75">
        <v>1.0792906289999999</v>
      </c>
      <c r="F84" s="75">
        <v>0.86838093699999996</v>
      </c>
      <c r="G84" s="75">
        <v>0</v>
      </c>
      <c r="H84" s="75">
        <v>0.44675368700000001</v>
      </c>
      <c r="I84" s="75">
        <v>1.8920698069999999</v>
      </c>
      <c r="J84" s="75">
        <v>0.28008733400000002</v>
      </c>
      <c r="K84" s="75">
        <v>0</v>
      </c>
      <c r="L84" s="75">
        <v>0</v>
      </c>
      <c r="M84" s="75">
        <v>0.62304660300000003</v>
      </c>
      <c r="N84" s="75">
        <v>0.62274447499999996</v>
      </c>
      <c r="O84" s="75">
        <v>0.37089381399999999</v>
      </c>
      <c r="P84" s="75">
        <v>0.70171673300000004</v>
      </c>
      <c r="Q84" s="75">
        <v>0.49303636499999998</v>
      </c>
      <c r="R84" s="75">
        <v>0.43681021799999997</v>
      </c>
      <c r="S84" s="75">
        <v>1.931059098</v>
      </c>
      <c r="T84" s="75">
        <v>0.65474357100000002</v>
      </c>
      <c r="U84" s="75">
        <v>0.84978411200000004</v>
      </c>
      <c r="V84" s="75">
        <v>0.57533011599999995</v>
      </c>
      <c r="W84" s="75">
        <v>0.55983557799999994</v>
      </c>
      <c r="X84" s="75">
        <v>1.552755245</v>
      </c>
      <c r="Y84" s="75">
        <v>0.210307308</v>
      </c>
      <c r="Z84" s="75">
        <v>0</v>
      </c>
      <c r="AA84" s="75">
        <v>0.59824443599999999</v>
      </c>
      <c r="AB84" s="75">
        <v>0</v>
      </c>
      <c r="AC84" s="778">
        <v>0</v>
      </c>
    </row>
    <row r="85" spans="1:29">
      <c r="A85" s="80" t="s">
        <v>1618</v>
      </c>
      <c r="B85" s="75">
        <v>0</v>
      </c>
      <c r="C85" s="75">
        <v>0</v>
      </c>
      <c r="D85" s="75">
        <v>0</v>
      </c>
      <c r="E85" s="75">
        <v>0</v>
      </c>
      <c r="F85" s="75">
        <v>0</v>
      </c>
      <c r="G85" s="75">
        <v>0</v>
      </c>
      <c r="H85" s="75">
        <v>0.84901444100000001</v>
      </c>
      <c r="I85" s="75">
        <v>0.661417429</v>
      </c>
      <c r="J85" s="75">
        <v>0</v>
      </c>
      <c r="K85" s="75">
        <v>0</v>
      </c>
      <c r="L85" s="75">
        <v>0</v>
      </c>
      <c r="M85" s="75">
        <v>0.64700425699999997</v>
      </c>
      <c r="N85" s="75">
        <v>0.98947812899999998</v>
      </c>
      <c r="O85" s="75">
        <v>0</v>
      </c>
      <c r="P85" s="75">
        <v>0</v>
      </c>
      <c r="Q85" s="75">
        <v>0</v>
      </c>
      <c r="R85" s="75">
        <v>0</v>
      </c>
      <c r="S85" s="75">
        <v>0</v>
      </c>
      <c r="T85" s="75">
        <v>0</v>
      </c>
      <c r="U85" s="75">
        <v>0</v>
      </c>
      <c r="V85" s="75">
        <v>0</v>
      </c>
      <c r="W85" s="75">
        <v>0</v>
      </c>
      <c r="X85" s="75">
        <v>0</v>
      </c>
      <c r="Y85" s="75">
        <v>0</v>
      </c>
      <c r="Z85" s="75">
        <v>0</v>
      </c>
      <c r="AA85" s="75">
        <v>0</v>
      </c>
      <c r="AB85" s="75">
        <v>0</v>
      </c>
      <c r="AC85" s="778">
        <v>0</v>
      </c>
    </row>
    <row r="86" spans="1:29">
      <c r="A86" s="80" t="s">
        <v>1619</v>
      </c>
      <c r="B86" s="75">
        <v>0.48939727999999999</v>
      </c>
      <c r="C86" s="75">
        <v>0.795377365</v>
      </c>
      <c r="D86" s="75">
        <v>0.76726985299999995</v>
      </c>
      <c r="E86" s="75">
        <v>1.6631499219999999</v>
      </c>
      <c r="F86" s="75">
        <v>0.84506627199999995</v>
      </c>
      <c r="G86" s="75">
        <v>0</v>
      </c>
      <c r="H86" s="75">
        <v>0.42195972300000001</v>
      </c>
      <c r="I86" s="75">
        <v>1.057244597</v>
      </c>
      <c r="J86" s="75">
        <v>0.96860785000000005</v>
      </c>
      <c r="K86" s="75">
        <v>1.6341621900000001</v>
      </c>
      <c r="L86" s="75">
        <v>2.5863947930000002</v>
      </c>
      <c r="M86" s="75">
        <v>0.63960303500000004</v>
      </c>
      <c r="N86" s="75">
        <v>0.56957551299999998</v>
      </c>
      <c r="O86" s="75">
        <v>0</v>
      </c>
      <c r="P86" s="75">
        <v>1.281602785</v>
      </c>
      <c r="Q86" s="75">
        <v>0.463502207</v>
      </c>
      <c r="R86" s="75">
        <v>0.41064415199999998</v>
      </c>
      <c r="S86" s="75">
        <v>1.8153836430000001</v>
      </c>
      <c r="T86" s="75">
        <v>0.60303815100000002</v>
      </c>
      <c r="U86" s="75">
        <v>0</v>
      </c>
      <c r="V86" s="75">
        <v>0.62525726500000001</v>
      </c>
      <c r="W86" s="75">
        <v>0.60841811000000001</v>
      </c>
      <c r="X86" s="75">
        <v>1.6875033479999999</v>
      </c>
      <c r="Y86" s="75">
        <v>0.186324721</v>
      </c>
      <c r="Z86" s="75">
        <v>0</v>
      </c>
      <c r="AA86" s="75">
        <v>0.59902042300000002</v>
      </c>
      <c r="AB86" s="75">
        <v>0</v>
      </c>
      <c r="AC86" s="778">
        <v>0</v>
      </c>
    </row>
    <row r="87" spans="1:29">
      <c r="A87" s="80" t="s">
        <v>1620</v>
      </c>
      <c r="B87" s="75">
        <v>0.51630859600000001</v>
      </c>
      <c r="C87" s="75">
        <v>0.90458880799999997</v>
      </c>
      <c r="D87" s="75">
        <v>0.86475406300000002</v>
      </c>
      <c r="E87" s="75">
        <v>0</v>
      </c>
      <c r="F87" s="75">
        <v>0</v>
      </c>
      <c r="G87" s="75">
        <v>0</v>
      </c>
      <c r="H87" s="75">
        <v>0.47141955400000002</v>
      </c>
      <c r="I87" s="75">
        <v>1.0210406089999999</v>
      </c>
      <c r="J87" s="75">
        <v>0.47981549099999998</v>
      </c>
      <c r="K87" s="75">
        <v>2.2853093269999998</v>
      </c>
      <c r="L87" s="75">
        <v>0</v>
      </c>
      <c r="M87" s="75">
        <v>0.75035629800000003</v>
      </c>
      <c r="N87" s="75">
        <v>0.66898531100000003</v>
      </c>
      <c r="O87" s="75">
        <v>0</v>
      </c>
      <c r="P87" s="75">
        <v>0</v>
      </c>
      <c r="Q87" s="75">
        <v>0.58507405300000004</v>
      </c>
      <c r="R87" s="75">
        <v>0.51835187599999999</v>
      </c>
      <c r="S87" s="75">
        <v>2.2915400419999998</v>
      </c>
      <c r="T87" s="75">
        <v>0.765990175</v>
      </c>
      <c r="U87" s="75">
        <v>0</v>
      </c>
      <c r="V87" s="75">
        <v>0.66169456699999996</v>
      </c>
      <c r="W87" s="75">
        <v>0.64387409900000003</v>
      </c>
      <c r="X87" s="75">
        <v>1.7858437819999999</v>
      </c>
      <c r="Y87" s="75">
        <v>0.22354264800000001</v>
      </c>
      <c r="Z87" s="75">
        <v>0</v>
      </c>
      <c r="AA87" s="75">
        <v>0.66428238799999995</v>
      </c>
      <c r="AB87" s="75">
        <v>0</v>
      </c>
      <c r="AC87" s="778">
        <v>0</v>
      </c>
    </row>
    <row r="88" spans="1:29">
      <c r="A88" s="80" t="s">
        <v>1621</v>
      </c>
      <c r="B88" s="75">
        <v>0.71256597499999996</v>
      </c>
      <c r="C88" s="75">
        <v>0.61865362099999999</v>
      </c>
      <c r="D88" s="75">
        <v>0.46306061399999998</v>
      </c>
      <c r="E88" s="75">
        <v>0</v>
      </c>
      <c r="F88" s="75">
        <v>0</v>
      </c>
      <c r="G88" s="75">
        <v>0</v>
      </c>
      <c r="H88" s="75">
        <v>0</v>
      </c>
      <c r="I88" s="75">
        <v>0</v>
      </c>
      <c r="J88" s="75">
        <v>0.65222127299999999</v>
      </c>
      <c r="K88" s="75">
        <v>1.8406147070000001</v>
      </c>
      <c r="L88" s="75">
        <v>0</v>
      </c>
      <c r="M88" s="75">
        <v>0.52211154699999995</v>
      </c>
      <c r="N88" s="75">
        <v>0.46926504400000002</v>
      </c>
      <c r="O88" s="75">
        <v>0</v>
      </c>
      <c r="P88" s="75">
        <v>0</v>
      </c>
      <c r="Q88" s="75">
        <v>0.58897993699999995</v>
      </c>
      <c r="R88" s="75">
        <v>0.52181233000000005</v>
      </c>
      <c r="S88" s="75">
        <v>2.306838087</v>
      </c>
      <c r="T88" s="75">
        <v>0.39846210900000001</v>
      </c>
      <c r="U88" s="75">
        <v>0.54956307999999998</v>
      </c>
      <c r="V88" s="75">
        <v>0</v>
      </c>
      <c r="W88" s="75">
        <v>0</v>
      </c>
      <c r="X88" s="75">
        <v>0</v>
      </c>
      <c r="Y88" s="75">
        <v>7.0872675999999996E-2</v>
      </c>
      <c r="Z88" s="75">
        <v>0</v>
      </c>
      <c r="AA88" s="75">
        <v>0</v>
      </c>
      <c r="AB88" s="75">
        <v>0</v>
      </c>
      <c r="AC88" s="778">
        <v>0</v>
      </c>
    </row>
    <row r="89" spans="1:29">
      <c r="A89" s="80" t="s">
        <v>1622</v>
      </c>
      <c r="B89" s="75">
        <v>0.34747594700000001</v>
      </c>
      <c r="C89" s="75">
        <v>0.60252237399999997</v>
      </c>
      <c r="D89" s="75">
        <v>0.55159411899999999</v>
      </c>
      <c r="E89" s="75">
        <v>1.2198918750000001</v>
      </c>
      <c r="F89" s="75">
        <v>0</v>
      </c>
      <c r="G89" s="75">
        <v>0</v>
      </c>
      <c r="H89" s="75">
        <v>0</v>
      </c>
      <c r="I89" s="75">
        <v>0.673234581</v>
      </c>
      <c r="J89" s="75">
        <v>0.263051337</v>
      </c>
      <c r="K89" s="75">
        <v>0</v>
      </c>
      <c r="L89" s="75">
        <v>0</v>
      </c>
      <c r="M89" s="75">
        <v>0.55699752700000005</v>
      </c>
      <c r="N89" s="75">
        <v>0.55134355300000004</v>
      </c>
      <c r="O89" s="75">
        <v>0.29119952799999999</v>
      </c>
      <c r="P89" s="75">
        <v>0.60670710299999997</v>
      </c>
      <c r="Q89" s="75">
        <v>0.52667715999999998</v>
      </c>
      <c r="R89" s="75">
        <v>0.46661459700000002</v>
      </c>
      <c r="S89" s="75">
        <v>2.0628188770000002</v>
      </c>
      <c r="T89" s="75">
        <v>0.87574593000000001</v>
      </c>
      <c r="U89" s="75">
        <v>0.69337976300000004</v>
      </c>
      <c r="V89" s="75">
        <v>0</v>
      </c>
      <c r="W89" s="75">
        <v>0</v>
      </c>
      <c r="X89" s="75">
        <v>0</v>
      </c>
      <c r="Y89" s="75">
        <v>0.10831876999999999</v>
      </c>
      <c r="Z89" s="75">
        <v>0</v>
      </c>
      <c r="AA89" s="75">
        <v>0.64888755799999998</v>
      </c>
      <c r="AB89" s="75">
        <v>0</v>
      </c>
      <c r="AC89" s="778">
        <v>0</v>
      </c>
    </row>
    <row r="90" spans="1:29">
      <c r="A90" s="80" t="s">
        <v>2498</v>
      </c>
      <c r="B90" s="75">
        <v>0.50610170499999996</v>
      </c>
      <c r="C90" s="75">
        <v>0.90632357399999997</v>
      </c>
      <c r="D90" s="75">
        <v>0.76249746200000001</v>
      </c>
      <c r="E90" s="75">
        <v>1.2124904480000001</v>
      </c>
      <c r="F90" s="75">
        <v>0.850186161</v>
      </c>
      <c r="G90" s="75">
        <v>1.543227873</v>
      </c>
      <c r="H90" s="75">
        <v>0.52084409200000004</v>
      </c>
      <c r="I90" s="75">
        <v>0</v>
      </c>
      <c r="J90" s="75">
        <v>0.43197426700000002</v>
      </c>
      <c r="K90" s="75">
        <v>0.98219592300000003</v>
      </c>
      <c r="L90" s="75">
        <v>2.0468493890000001</v>
      </c>
      <c r="M90" s="75">
        <v>0.77488040599999997</v>
      </c>
      <c r="N90" s="75">
        <v>0.668090454</v>
      </c>
      <c r="O90" s="75">
        <v>0.74290062999999995</v>
      </c>
      <c r="P90" s="75">
        <v>1.0054508719999999</v>
      </c>
      <c r="Q90" s="75">
        <v>0.57284120699999996</v>
      </c>
      <c r="R90" s="75">
        <v>0.50751407000000004</v>
      </c>
      <c r="S90" s="75">
        <v>2.2436280599999998</v>
      </c>
      <c r="T90" s="75">
        <v>0.70480663899999996</v>
      </c>
      <c r="U90" s="75">
        <v>0.78446733000000002</v>
      </c>
      <c r="V90" s="75">
        <v>0.78046318400000003</v>
      </c>
      <c r="W90" s="75">
        <v>0.75944409099999999</v>
      </c>
      <c r="X90" s="75">
        <v>2.106387738</v>
      </c>
      <c r="Y90" s="75">
        <v>0.26373661599999998</v>
      </c>
      <c r="Z90" s="75">
        <v>0</v>
      </c>
      <c r="AA90" s="75">
        <v>0.66632709099999998</v>
      </c>
      <c r="AB90" s="75">
        <v>0</v>
      </c>
      <c r="AC90" s="778">
        <v>0</v>
      </c>
    </row>
    <row r="91" spans="1:29">
      <c r="A91" s="80" t="s">
        <v>1624</v>
      </c>
      <c r="B91" s="75">
        <v>0.776676802</v>
      </c>
      <c r="C91" s="75">
        <v>0.51016272799999995</v>
      </c>
      <c r="D91" s="75">
        <v>0.50691418799999999</v>
      </c>
      <c r="E91" s="75">
        <v>9.7993248800000003</v>
      </c>
      <c r="F91" s="75">
        <v>0</v>
      </c>
      <c r="G91" s="75">
        <v>0</v>
      </c>
      <c r="H91" s="75">
        <v>0.27914946899999998</v>
      </c>
      <c r="I91" s="75">
        <v>0</v>
      </c>
      <c r="J91" s="75">
        <v>0</v>
      </c>
      <c r="K91" s="75">
        <v>0</v>
      </c>
      <c r="L91" s="75">
        <v>0</v>
      </c>
      <c r="M91" s="75">
        <v>0.46259707700000002</v>
      </c>
      <c r="N91" s="75">
        <v>0.47604917699999999</v>
      </c>
      <c r="O91" s="75">
        <v>0</v>
      </c>
      <c r="P91" s="75">
        <v>0.53274688999999997</v>
      </c>
      <c r="Q91" s="75">
        <v>0.367722308</v>
      </c>
      <c r="R91" s="75">
        <v>0.325787047</v>
      </c>
      <c r="S91" s="75">
        <v>1.4402457049999999</v>
      </c>
      <c r="T91" s="75">
        <v>0.415726665</v>
      </c>
      <c r="U91" s="75">
        <v>0.66833427400000001</v>
      </c>
      <c r="V91" s="75">
        <v>0</v>
      </c>
      <c r="W91" s="75">
        <v>0</v>
      </c>
      <c r="X91" s="75">
        <v>0</v>
      </c>
      <c r="Y91" s="75">
        <v>7.3370846000000003E-2</v>
      </c>
      <c r="Z91" s="75">
        <v>0</v>
      </c>
      <c r="AA91" s="75">
        <v>0.39194848199999999</v>
      </c>
      <c r="AB91" s="75">
        <v>0</v>
      </c>
      <c r="AC91" s="778">
        <v>0</v>
      </c>
    </row>
    <row r="92" spans="1:29">
      <c r="A92" s="80" t="s">
        <v>2499</v>
      </c>
      <c r="B92" s="75">
        <v>0</v>
      </c>
      <c r="C92" s="75">
        <v>1.316584983</v>
      </c>
      <c r="D92" s="75">
        <v>1.1560888380000001</v>
      </c>
      <c r="E92" s="75">
        <v>0</v>
      </c>
      <c r="F92" s="75">
        <v>0</v>
      </c>
      <c r="G92" s="75">
        <v>0</v>
      </c>
      <c r="H92" s="75">
        <v>0.48301562100000001</v>
      </c>
      <c r="I92" s="75">
        <v>0.67210181499999999</v>
      </c>
      <c r="J92" s="75">
        <v>0.482082024</v>
      </c>
      <c r="K92" s="75">
        <v>0</v>
      </c>
      <c r="L92" s="75">
        <v>0</v>
      </c>
      <c r="M92" s="75">
        <v>0.81855748900000003</v>
      </c>
      <c r="N92" s="75">
        <v>0.900463397</v>
      </c>
      <c r="O92" s="75">
        <v>0</v>
      </c>
      <c r="P92" s="75">
        <v>0</v>
      </c>
      <c r="Q92" s="75">
        <v>0.89690049400000005</v>
      </c>
      <c r="R92" s="75">
        <v>0.794617452</v>
      </c>
      <c r="S92" s="75">
        <v>3.5128602670000002</v>
      </c>
      <c r="T92" s="75">
        <v>0.75411668499999995</v>
      </c>
      <c r="U92" s="75">
        <v>0</v>
      </c>
      <c r="V92" s="75">
        <v>2.5465583459999999</v>
      </c>
      <c r="W92" s="75">
        <v>2.4779755529999998</v>
      </c>
      <c r="X92" s="75">
        <v>6.8728921339999998</v>
      </c>
      <c r="Y92" s="75">
        <v>0</v>
      </c>
      <c r="Z92" s="75">
        <v>0</v>
      </c>
      <c r="AA92" s="75">
        <v>0</v>
      </c>
      <c r="AB92" s="75">
        <v>0.66015074699999998</v>
      </c>
      <c r="AC92" s="778">
        <v>0</v>
      </c>
    </row>
    <row r="93" spans="1:29">
      <c r="A93" s="80" t="s">
        <v>2500</v>
      </c>
      <c r="B93" s="75">
        <v>0.43883875300000003</v>
      </c>
      <c r="C93" s="75">
        <v>0.80028310199999997</v>
      </c>
      <c r="D93" s="75">
        <v>0.71092957000000001</v>
      </c>
      <c r="E93" s="75">
        <v>1.4272162500000001</v>
      </c>
      <c r="F93" s="75">
        <v>0</v>
      </c>
      <c r="G93" s="75">
        <v>0</v>
      </c>
      <c r="H93" s="75">
        <v>0.47099727899999999</v>
      </c>
      <c r="I93" s="75">
        <v>1.0925485660000001</v>
      </c>
      <c r="J93" s="75">
        <v>0</v>
      </c>
      <c r="K93" s="75">
        <v>1.36223925</v>
      </c>
      <c r="L93" s="75">
        <v>2.5189639750000001</v>
      </c>
      <c r="M93" s="75">
        <v>0.67085987800000002</v>
      </c>
      <c r="N93" s="75">
        <v>0.58492595700000005</v>
      </c>
      <c r="O93" s="75">
        <v>0</v>
      </c>
      <c r="P93" s="75">
        <v>0.98448701299999997</v>
      </c>
      <c r="Q93" s="75">
        <v>0.37042051799999998</v>
      </c>
      <c r="R93" s="75">
        <v>0.32817755199999998</v>
      </c>
      <c r="S93" s="75">
        <v>1.4508136949999999</v>
      </c>
      <c r="T93" s="75">
        <v>0.54896619999999996</v>
      </c>
      <c r="U93" s="75">
        <v>1.0710109249999999</v>
      </c>
      <c r="V93" s="75">
        <v>0.75288395500000005</v>
      </c>
      <c r="W93" s="75">
        <v>0.73260761399999996</v>
      </c>
      <c r="X93" s="75">
        <v>2.0319543109999998</v>
      </c>
      <c r="Y93" s="75">
        <v>0.19268118300000001</v>
      </c>
      <c r="Z93" s="75">
        <v>0</v>
      </c>
      <c r="AA93" s="75">
        <v>0.55469767400000003</v>
      </c>
      <c r="AB93" s="75">
        <v>0</v>
      </c>
      <c r="AC93" s="778">
        <v>0</v>
      </c>
    </row>
    <row r="94" spans="1:29">
      <c r="A94" s="80" t="s">
        <v>2501</v>
      </c>
      <c r="B94" s="75">
        <v>0.28799657400000001</v>
      </c>
      <c r="C94" s="75">
        <v>1.183513603</v>
      </c>
      <c r="D94" s="75">
        <v>0.80138654799999998</v>
      </c>
      <c r="E94" s="75">
        <v>5.7785202959999999</v>
      </c>
      <c r="F94" s="75">
        <v>0.59033119000000001</v>
      </c>
      <c r="G94" s="75">
        <v>0.39499525099999999</v>
      </c>
      <c r="H94" s="75">
        <v>0.531705286</v>
      </c>
      <c r="I94" s="75">
        <v>0</v>
      </c>
      <c r="J94" s="75">
        <v>0.24303174899999999</v>
      </c>
      <c r="K94" s="75">
        <v>0</v>
      </c>
      <c r="L94" s="75">
        <v>0</v>
      </c>
      <c r="M94" s="75">
        <v>0.75699870599999997</v>
      </c>
      <c r="N94" s="75">
        <v>0.67602110400000004</v>
      </c>
      <c r="O94" s="75">
        <v>0.26205535600000002</v>
      </c>
      <c r="P94" s="75">
        <v>0</v>
      </c>
      <c r="Q94" s="75">
        <v>0.49851318500000003</v>
      </c>
      <c r="R94" s="75">
        <v>0.44166245799999998</v>
      </c>
      <c r="S94" s="75">
        <v>1.952509974</v>
      </c>
      <c r="T94" s="75">
        <v>0.82179471299999995</v>
      </c>
      <c r="U94" s="75">
        <v>0</v>
      </c>
      <c r="V94" s="75">
        <v>0</v>
      </c>
      <c r="W94" s="75">
        <v>0</v>
      </c>
      <c r="X94" s="75">
        <v>0</v>
      </c>
      <c r="Y94" s="75">
        <v>0.203110661</v>
      </c>
      <c r="Z94" s="75">
        <v>0</v>
      </c>
      <c r="AA94" s="75">
        <v>0.72182743100000002</v>
      </c>
      <c r="AB94" s="75">
        <v>0.92502598400000002</v>
      </c>
      <c r="AC94" s="778">
        <v>0</v>
      </c>
    </row>
    <row r="95" spans="1:29">
      <c r="A95" s="80" t="s">
        <v>1627</v>
      </c>
      <c r="B95" s="75">
        <v>0.34510972699999998</v>
      </c>
      <c r="C95" s="75">
        <v>1.6765985370000001</v>
      </c>
      <c r="D95" s="75">
        <v>4.369376484</v>
      </c>
      <c r="E95" s="75">
        <v>1.02228728</v>
      </c>
      <c r="F95" s="75">
        <v>0</v>
      </c>
      <c r="G95" s="75">
        <v>0</v>
      </c>
      <c r="H95" s="75">
        <v>0</v>
      </c>
      <c r="I95" s="75">
        <v>1.7151297219999999</v>
      </c>
      <c r="J95" s="75">
        <v>0.461744133</v>
      </c>
      <c r="K95" s="75">
        <v>1.3141876699999999</v>
      </c>
      <c r="L95" s="75">
        <v>0</v>
      </c>
      <c r="M95" s="75">
        <v>1.7764384870000001</v>
      </c>
      <c r="N95" s="75">
        <v>2.0830128079999999</v>
      </c>
      <c r="O95" s="75">
        <v>0.170908597</v>
      </c>
      <c r="P95" s="75">
        <v>1.2701125150000001</v>
      </c>
      <c r="Q95" s="75">
        <v>1.9653437680000001</v>
      </c>
      <c r="R95" s="75">
        <v>1.741214848</v>
      </c>
      <c r="S95" s="75">
        <v>7.6975964240000003</v>
      </c>
      <c r="T95" s="75">
        <v>0</v>
      </c>
      <c r="U95" s="75">
        <v>0</v>
      </c>
      <c r="V95" s="75">
        <v>0</v>
      </c>
      <c r="W95" s="75">
        <v>0</v>
      </c>
      <c r="X95" s="75">
        <v>0</v>
      </c>
      <c r="Y95" s="75">
        <v>0.199563501</v>
      </c>
      <c r="Z95" s="75">
        <v>0</v>
      </c>
      <c r="AA95" s="75">
        <v>1.11458821</v>
      </c>
      <c r="AB95" s="75">
        <v>1.77968043</v>
      </c>
      <c r="AC95" s="778">
        <v>0.56488799199999995</v>
      </c>
    </row>
    <row r="96" spans="1:29">
      <c r="A96" s="80" t="s">
        <v>1628</v>
      </c>
      <c r="B96" s="75">
        <v>0.25255357899999997</v>
      </c>
      <c r="C96" s="75">
        <v>0.80644660400000001</v>
      </c>
      <c r="D96" s="75">
        <v>0.85256556800000005</v>
      </c>
      <c r="E96" s="75">
        <v>1.337874301</v>
      </c>
      <c r="F96" s="75">
        <v>0</v>
      </c>
      <c r="G96" s="75">
        <v>0</v>
      </c>
      <c r="H96" s="75">
        <v>0.44306902500000001</v>
      </c>
      <c r="I96" s="75">
        <v>1.455615345</v>
      </c>
      <c r="J96" s="75">
        <v>0.22684277</v>
      </c>
      <c r="K96" s="75">
        <v>0</v>
      </c>
      <c r="L96" s="75">
        <v>0</v>
      </c>
      <c r="M96" s="75">
        <v>0.85787515400000003</v>
      </c>
      <c r="N96" s="75">
        <v>0.83397817600000002</v>
      </c>
      <c r="O96" s="75">
        <v>0.27574704300000002</v>
      </c>
      <c r="P96" s="75">
        <v>0.85096011100000002</v>
      </c>
      <c r="Q96" s="75">
        <v>0.28697024599999998</v>
      </c>
      <c r="R96" s="75">
        <v>0.25424399600000003</v>
      </c>
      <c r="S96" s="75">
        <v>1.1239667959999999</v>
      </c>
      <c r="T96" s="75">
        <v>0.76579109599999995</v>
      </c>
      <c r="U96" s="75">
        <v>1.1901483960000001</v>
      </c>
      <c r="V96" s="75">
        <v>0.41104127099999999</v>
      </c>
      <c r="W96" s="75">
        <v>0.39997128799999998</v>
      </c>
      <c r="X96" s="75">
        <v>1.109356996</v>
      </c>
      <c r="Y96" s="75">
        <v>0.170372257</v>
      </c>
      <c r="Z96" s="75">
        <v>0</v>
      </c>
      <c r="AA96" s="75">
        <v>0.70677167100000005</v>
      </c>
      <c r="AB96" s="75">
        <v>0.83509895700000003</v>
      </c>
      <c r="AC96" s="778">
        <v>1.298189297</v>
      </c>
    </row>
    <row r="97" spans="1:29">
      <c r="A97" s="80" t="s">
        <v>1629</v>
      </c>
      <c r="B97" s="75">
        <v>0.39221691800000003</v>
      </c>
      <c r="C97" s="75">
        <v>0.89286785899999999</v>
      </c>
      <c r="D97" s="75">
        <v>0.92063097100000002</v>
      </c>
      <c r="E97" s="75">
        <v>1.8907168480000001</v>
      </c>
      <c r="F97" s="75">
        <v>0.86558903099999995</v>
      </c>
      <c r="G97" s="75">
        <v>0.31075832199999998</v>
      </c>
      <c r="H97" s="75">
        <v>0.47113370300000001</v>
      </c>
      <c r="I97" s="75">
        <v>1.2668142250000001</v>
      </c>
      <c r="J97" s="75">
        <v>0.206386767</v>
      </c>
      <c r="K97" s="75">
        <v>1.1996277639999999</v>
      </c>
      <c r="L97" s="75">
        <v>2.0082834570000001</v>
      </c>
      <c r="M97" s="75">
        <v>0.75882034600000003</v>
      </c>
      <c r="N97" s="75">
        <v>0.71581888999999999</v>
      </c>
      <c r="O97" s="75">
        <v>0.30258560699999998</v>
      </c>
      <c r="P97" s="75">
        <v>0.78365574800000004</v>
      </c>
      <c r="Q97" s="75">
        <v>0.538028697</v>
      </c>
      <c r="R97" s="75">
        <v>0.476671599</v>
      </c>
      <c r="S97" s="75">
        <v>2.107279063</v>
      </c>
      <c r="T97" s="75">
        <v>0.73884366099999998</v>
      </c>
      <c r="U97" s="75">
        <v>1.2156237130000001</v>
      </c>
      <c r="V97" s="75">
        <v>0.56163784999999999</v>
      </c>
      <c r="W97" s="75">
        <v>0.54651206600000002</v>
      </c>
      <c r="X97" s="75">
        <v>1.5158012649999999</v>
      </c>
      <c r="Y97" s="75">
        <v>0.21299099499999999</v>
      </c>
      <c r="Z97" s="75">
        <v>1.2125896270000001</v>
      </c>
      <c r="AA97" s="75">
        <v>0</v>
      </c>
      <c r="AB97" s="75">
        <v>1.084351976</v>
      </c>
      <c r="AC97" s="778">
        <v>0.70116062000000001</v>
      </c>
    </row>
    <row r="98" spans="1:29">
      <c r="A98" s="80" t="s">
        <v>1630</v>
      </c>
      <c r="B98" s="75">
        <v>0.36261537599999999</v>
      </c>
      <c r="C98" s="75">
        <v>0.86531073999999997</v>
      </c>
      <c r="D98" s="75">
        <v>0.65692733400000003</v>
      </c>
      <c r="E98" s="75">
        <v>1.326032026</v>
      </c>
      <c r="F98" s="75">
        <v>0.93715787399999995</v>
      </c>
      <c r="G98" s="75">
        <v>0.314028425</v>
      </c>
      <c r="H98" s="75">
        <v>0.454018588</v>
      </c>
      <c r="I98" s="75">
        <v>0.99695129699999996</v>
      </c>
      <c r="J98" s="75">
        <v>0.27117247300000002</v>
      </c>
      <c r="K98" s="75">
        <v>0.83725640999999995</v>
      </c>
      <c r="L98" s="75">
        <v>2.181364292</v>
      </c>
      <c r="M98" s="75">
        <v>0.62808623600000002</v>
      </c>
      <c r="N98" s="75">
        <v>0.52706725399999999</v>
      </c>
      <c r="O98" s="75">
        <v>0</v>
      </c>
      <c r="P98" s="75">
        <v>0.96160260900000005</v>
      </c>
      <c r="Q98" s="75">
        <v>0.463434244</v>
      </c>
      <c r="R98" s="75">
        <v>0.41058393900000001</v>
      </c>
      <c r="S98" s="75">
        <v>1.815117455</v>
      </c>
      <c r="T98" s="75">
        <v>0.59434190499999995</v>
      </c>
      <c r="U98" s="75">
        <v>0</v>
      </c>
      <c r="V98" s="75">
        <v>0.60814828700000001</v>
      </c>
      <c r="W98" s="75">
        <v>0.59176990399999996</v>
      </c>
      <c r="X98" s="75">
        <v>1.6413280240000001</v>
      </c>
      <c r="Y98" s="75">
        <v>0.20548892999999999</v>
      </c>
      <c r="Z98" s="75">
        <v>0</v>
      </c>
      <c r="AA98" s="75">
        <v>0.52336751800000003</v>
      </c>
      <c r="AB98" s="75">
        <v>0</v>
      </c>
      <c r="AC98" s="778">
        <v>0</v>
      </c>
    </row>
    <row r="99" spans="1:29">
      <c r="A99" s="80" t="s">
        <v>1631</v>
      </c>
      <c r="B99" s="75">
        <v>0</v>
      </c>
      <c r="C99" s="75">
        <v>0.62571679300000005</v>
      </c>
      <c r="D99" s="75">
        <v>1.2461751089999999</v>
      </c>
      <c r="E99" s="75">
        <v>1.5622462930000001</v>
      </c>
      <c r="F99" s="75">
        <v>0</v>
      </c>
      <c r="G99" s="75">
        <v>0.456103498</v>
      </c>
      <c r="H99" s="75">
        <v>0.50805940400000005</v>
      </c>
      <c r="I99" s="75">
        <v>0</v>
      </c>
      <c r="J99" s="75">
        <v>0.369710602</v>
      </c>
      <c r="K99" s="75">
        <v>0</v>
      </c>
      <c r="L99" s="75">
        <v>0</v>
      </c>
      <c r="M99" s="75">
        <v>0.77173051699999995</v>
      </c>
      <c r="N99" s="75">
        <v>0.79058073299999998</v>
      </c>
      <c r="O99" s="75">
        <v>0</v>
      </c>
      <c r="P99" s="75">
        <v>0.67064108899999997</v>
      </c>
      <c r="Q99" s="75">
        <v>0.68700809500000004</v>
      </c>
      <c r="R99" s="75">
        <v>0.60866130100000004</v>
      </c>
      <c r="S99" s="75">
        <v>2.690781705</v>
      </c>
      <c r="T99" s="75">
        <v>0</v>
      </c>
      <c r="U99" s="75">
        <v>0</v>
      </c>
      <c r="V99" s="75">
        <v>0.44001077399999999</v>
      </c>
      <c r="W99" s="75">
        <v>0.42816059699999998</v>
      </c>
      <c r="X99" s="75">
        <v>1.1875426259999999</v>
      </c>
      <c r="Y99" s="75">
        <v>0</v>
      </c>
      <c r="Z99" s="75">
        <v>0</v>
      </c>
      <c r="AA99" s="75">
        <v>0</v>
      </c>
      <c r="AB99" s="75">
        <v>1.4378107689999999</v>
      </c>
      <c r="AC99" s="778">
        <v>0</v>
      </c>
    </row>
    <row r="100" spans="1:29">
      <c r="A100" s="80" t="s">
        <v>1632</v>
      </c>
      <c r="B100" s="75">
        <v>0.53731234699999997</v>
      </c>
      <c r="C100" s="75">
        <v>1.1517659609999999</v>
      </c>
      <c r="D100" s="75">
        <v>0.95775099200000002</v>
      </c>
      <c r="E100" s="75">
        <v>1.361147141</v>
      </c>
      <c r="F100" s="75">
        <v>0</v>
      </c>
      <c r="G100" s="75">
        <v>0.387739477</v>
      </c>
      <c r="H100" s="75">
        <v>0.51129660600000004</v>
      </c>
      <c r="I100" s="75">
        <v>0</v>
      </c>
      <c r="J100" s="75">
        <v>0.63606640999999997</v>
      </c>
      <c r="K100" s="75">
        <v>0</v>
      </c>
      <c r="L100" s="75">
        <v>0</v>
      </c>
      <c r="M100" s="75">
        <v>0.83585732400000001</v>
      </c>
      <c r="N100" s="75">
        <v>0.73274136499999998</v>
      </c>
      <c r="O100" s="75">
        <v>0.70291817099999998</v>
      </c>
      <c r="P100" s="75">
        <v>0</v>
      </c>
      <c r="Q100" s="75">
        <v>0.53799334499999996</v>
      </c>
      <c r="R100" s="75">
        <v>0.47664027799999997</v>
      </c>
      <c r="S100" s="75">
        <v>2.1071406019999999</v>
      </c>
      <c r="T100" s="75">
        <v>0.99888817200000002</v>
      </c>
      <c r="U100" s="75">
        <v>0</v>
      </c>
      <c r="V100" s="75">
        <v>0.45019498699999999</v>
      </c>
      <c r="W100" s="75">
        <v>0.43807053299999998</v>
      </c>
      <c r="X100" s="75">
        <v>1.215028743</v>
      </c>
      <c r="Y100" s="75">
        <v>0.27909423700000002</v>
      </c>
      <c r="Z100" s="75">
        <v>0.83940225899999998</v>
      </c>
      <c r="AA100" s="75">
        <v>0</v>
      </c>
      <c r="AB100" s="75">
        <v>1.083451562</v>
      </c>
      <c r="AC100" s="778">
        <v>0</v>
      </c>
    </row>
    <row r="101" spans="1:29">
      <c r="A101" s="80" t="s">
        <v>254</v>
      </c>
      <c r="B101" s="75">
        <v>0.41414656700000002</v>
      </c>
      <c r="C101" s="75">
        <v>0.78213020300000002</v>
      </c>
      <c r="D101" s="75">
        <v>1.0137467250000001</v>
      </c>
      <c r="E101" s="75">
        <v>3.125653835</v>
      </c>
      <c r="F101" s="75">
        <v>0</v>
      </c>
      <c r="G101" s="75">
        <v>0.40023399900000001</v>
      </c>
      <c r="H101" s="75">
        <v>0.58490566399999999</v>
      </c>
      <c r="I101" s="75">
        <v>0</v>
      </c>
      <c r="J101" s="75">
        <v>0.33754980699999998</v>
      </c>
      <c r="K101" s="75">
        <v>0.96520704899999998</v>
      </c>
      <c r="L101" s="75">
        <v>0</v>
      </c>
      <c r="M101" s="75">
        <v>0.73096093100000004</v>
      </c>
      <c r="N101" s="75">
        <v>0.84290912600000001</v>
      </c>
      <c r="O101" s="75">
        <v>0.36398377199999998</v>
      </c>
      <c r="P101" s="75">
        <v>0</v>
      </c>
      <c r="Q101" s="75">
        <v>1.07037363</v>
      </c>
      <c r="R101" s="75">
        <v>0.94830761299999999</v>
      </c>
      <c r="S101" s="75">
        <v>4.1922967189999998</v>
      </c>
      <c r="T101" s="75">
        <v>0</v>
      </c>
      <c r="U101" s="75">
        <v>0</v>
      </c>
      <c r="V101" s="75">
        <v>0</v>
      </c>
      <c r="W101" s="75">
        <v>0</v>
      </c>
      <c r="X101" s="75">
        <v>0</v>
      </c>
      <c r="Y101" s="75">
        <v>0</v>
      </c>
      <c r="Z101" s="75">
        <v>0</v>
      </c>
      <c r="AA101" s="75">
        <v>0</v>
      </c>
      <c r="AB101" s="75">
        <v>0</v>
      </c>
      <c r="AC101" s="778">
        <v>0</v>
      </c>
    </row>
    <row r="102" spans="1:29">
      <c r="A102" s="80" t="s">
        <v>1633</v>
      </c>
      <c r="B102" s="75">
        <v>0.36403819199999998</v>
      </c>
      <c r="C102" s="75">
        <v>0.724697535</v>
      </c>
      <c r="D102" s="75">
        <v>0.84224069899999998</v>
      </c>
      <c r="E102" s="75">
        <v>3.0642701649999999</v>
      </c>
      <c r="F102" s="75">
        <v>0.71597034000000004</v>
      </c>
      <c r="G102" s="75">
        <v>0</v>
      </c>
      <c r="H102" s="75">
        <v>0.44411832200000001</v>
      </c>
      <c r="I102" s="75">
        <v>0</v>
      </c>
      <c r="J102" s="75">
        <v>0</v>
      </c>
      <c r="K102" s="75">
        <v>0.80910443200000004</v>
      </c>
      <c r="L102" s="75">
        <v>0</v>
      </c>
      <c r="M102" s="75">
        <v>0.76427051499999998</v>
      </c>
      <c r="N102" s="75">
        <v>0.77538820500000005</v>
      </c>
      <c r="O102" s="75">
        <v>0</v>
      </c>
      <c r="P102" s="75">
        <v>0</v>
      </c>
      <c r="Q102" s="75">
        <v>0.66660828299999997</v>
      </c>
      <c r="R102" s="75">
        <v>0.59058789599999995</v>
      </c>
      <c r="S102" s="75">
        <v>2.6108824419999999</v>
      </c>
      <c r="T102" s="75">
        <v>0.83727282400000003</v>
      </c>
      <c r="U102" s="75">
        <v>0</v>
      </c>
      <c r="V102" s="75">
        <v>0</v>
      </c>
      <c r="W102" s="75">
        <v>0</v>
      </c>
      <c r="X102" s="75">
        <v>0</v>
      </c>
      <c r="Y102" s="75">
        <v>0.12833862900000001</v>
      </c>
      <c r="Z102" s="75">
        <v>1.5530793780000001</v>
      </c>
      <c r="AA102" s="75">
        <v>0.700920922</v>
      </c>
      <c r="AB102" s="75">
        <v>0.72125478600000004</v>
      </c>
      <c r="AC102" s="778">
        <v>0.52250566300000001</v>
      </c>
    </row>
    <row r="103" spans="1:29">
      <c r="A103" s="80" t="s">
        <v>1634</v>
      </c>
      <c r="B103" s="75">
        <v>0.58047487200000003</v>
      </c>
      <c r="C103" s="75">
        <v>1.021567455</v>
      </c>
      <c r="D103" s="75">
        <v>1.031471362</v>
      </c>
      <c r="E103" s="75">
        <v>1.408220738</v>
      </c>
      <c r="F103" s="75">
        <v>0.82743257800000003</v>
      </c>
      <c r="G103" s="75">
        <v>0</v>
      </c>
      <c r="H103" s="75">
        <v>0.73738112499999997</v>
      </c>
      <c r="I103" s="75">
        <v>1.1923535810000001</v>
      </c>
      <c r="J103" s="75">
        <v>0</v>
      </c>
      <c r="K103" s="75">
        <v>2.3816126020000001</v>
      </c>
      <c r="L103" s="75">
        <v>1.7283016899999999</v>
      </c>
      <c r="M103" s="75">
        <v>0.95065053799999999</v>
      </c>
      <c r="N103" s="75">
        <v>0.88435905999999997</v>
      </c>
      <c r="O103" s="75">
        <v>0.97098220499999999</v>
      </c>
      <c r="P103" s="75">
        <v>1.157550989</v>
      </c>
      <c r="Q103" s="75">
        <v>0.513447557</v>
      </c>
      <c r="R103" s="75">
        <v>0.45489370600000001</v>
      </c>
      <c r="S103" s="75">
        <v>2.0110029319999998</v>
      </c>
      <c r="T103" s="75">
        <v>0.97065179899999998</v>
      </c>
      <c r="U103" s="75">
        <v>0</v>
      </c>
      <c r="V103" s="75">
        <v>0.78034474799999998</v>
      </c>
      <c r="W103" s="75">
        <v>0.75932884499999997</v>
      </c>
      <c r="X103" s="75">
        <v>2.1060680920000001</v>
      </c>
      <c r="Y103" s="75">
        <v>0.45172773900000002</v>
      </c>
      <c r="Z103" s="75">
        <v>1.0042528589999999</v>
      </c>
      <c r="AA103" s="75">
        <v>0.84504783999999999</v>
      </c>
      <c r="AB103" s="75">
        <v>1.1986862069999999</v>
      </c>
      <c r="AC103" s="778">
        <v>0.85288296100000005</v>
      </c>
    </row>
    <row r="104" spans="1:29" ht="15" thickBot="1">
      <c r="A104" s="629" t="s">
        <v>1635</v>
      </c>
      <c r="B104" s="101">
        <v>0</v>
      </c>
      <c r="C104" s="101">
        <v>1.0236169289999999</v>
      </c>
      <c r="D104" s="101">
        <v>0</v>
      </c>
      <c r="E104" s="101">
        <v>0</v>
      </c>
      <c r="F104" s="101">
        <v>0</v>
      </c>
      <c r="G104" s="101">
        <v>0</v>
      </c>
      <c r="H104" s="101">
        <v>0.61599692800000005</v>
      </c>
      <c r="I104" s="101">
        <v>0</v>
      </c>
      <c r="J104" s="101">
        <v>0</v>
      </c>
      <c r="K104" s="101">
        <v>0</v>
      </c>
      <c r="L104" s="101">
        <v>0</v>
      </c>
      <c r="M104" s="101">
        <v>0.72933435800000002</v>
      </c>
      <c r="N104" s="101">
        <v>0</v>
      </c>
      <c r="O104" s="101">
        <v>0</v>
      </c>
      <c r="P104" s="101">
        <v>0</v>
      </c>
      <c r="Q104" s="101">
        <v>0</v>
      </c>
      <c r="R104" s="101">
        <v>0</v>
      </c>
      <c r="S104" s="101">
        <v>0</v>
      </c>
      <c r="T104" s="101">
        <v>0</v>
      </c>
      <c r="U104" s="101">
        <v>0</v>
      </c>
      <c r="V104" s="101">
        <v>0.70205901999999998</v>
      </c>
      <c r="W104" s="101">
        <v>0.68315147399999998</v>
      </c>
      <c r="X104" s="101">
        <v>1.8947831770000001</v>
      </c>
      <c r="Y104" s="101">
        <v>0.28305446400000001</v>
      </c>
      <c r="Z104" s="101">
        <v>0</v>
      </c>
      <c r="AA104" s="101">
        <v>0</v>
      </c>
      <c r="AB104" s="101">
        <v>1.530715445</v>
      </c>
      <c r="AC104" s="779">
        <v>0</v>
      </c>
    </row>
    <row r="105" spans="1:29">
      <c r="A105" s="386"/>
      <c r="B105" s="632"/>
      <c r="C105" s="632"/>
      <c r="D105" s="632"/>
      <c r="E105" s="632"/>
      <c r="F105" s="632"/>
      <c r="G105" s="632"/>
      <c r="H105" s="632"/>
      <c r="I105" s="632"/>
      <c r="J105" s="632"/>
      <c r="K105" s="632"/>
      <c r="L105" s="632"/>
      <c r="M105" s="632"/>
      <c r="N105" s="632"/>
      <c r="O105" s="632"/>
      <c r="P105" s="632"/>
      <c r="Q105" s="632"/>
      <c r="R105" s="632"/>
      <c r="S105" s="632"/>
      <c r="T105" s="632"/>
      <c r="U105" s="632"/>
      <c r="V105" s="632"/>
      <c r="W105" s="632"/>
      <c r="X105" s="632"/>
      <c r="Y105" s="632"/>
    </row>
    <row r="106" spans="1:29" ht="15" thickBot="1"/>
    <row r="107" spans="1:29">
      <c r="A107" s="1416" t="s">
        <v>2488</v>
      </c>
      <c r="B107" s="1417"/>
      <c r="C107" s="1417"/>
      <c r="D107" s="1417"/>
      <c r="E107" s="1417"/>
      <c r="F107" s="1417"/>
      <c r="G107" s="1417"/>
      <c r="H107" s="1417"/>
      <c r="I107" s="1417"/>
      <c r="J107" s="1417"/>
      <c r="K107" s="1417"/>
      <c r="L107" s="1417"/>
      <c r="M107" s="1417"/>
      <c r="N107" s="1417"/>
      <c r="O107" s="1417"/>
      <c r="P107" s="1417"/>
      <c r="Q107" s="1417"/>
      <c r="R107" s="1417"/>
      <c r="S107" s="1417"/>
      <c r="T107" s="1417"/>
      <c r="U107" s="1417"/>
      <c r="V107" s="1418"/>
    </row>
    <row r="109" spans="1:29">
      <c r="A109" s="631"/>
      <c r="B109" s="631" t="s">
        <v>516</v>
      </c>
      <c r="C109" s="631" t="s">
        <v>19</v>
      </c>
      <c r="D109" s="631" t="s">
        <v>1636</v>
      </c>
    </row>
    <row r="110" spans="1:29">
      <c r="A110" t="s">
        <v>179</v>
      </c>
      <c r="B110">
        <v>0.52</v>
      </c>
      <c r="C110" t="s">
        <v>2489</v>
      </c>
      <c r="D110" t="s">
        <v>2490</v>
      </c>
    </row>
    <row r="111" spans="1:29">
      <c r="A111" t="s">
        <v>178</v>
      </c>
      <c r="B111">
        <v>0.52</v>
      </c>
      <c r="C111" t="s">
        <v>2489</v>
      </c>
      <c r="D111" t="s">
        <v>2490</v>
      </c>
    </row>
  </sheetData>
  <sheetProtection insertColumns="0" insertRows="0" selectLockedCells="1" selectUnlockedCells="1"/>
  <mergeCells count="3">
    <mergeCell ref="A1:V1"/>
    <mergeCell ref="A38:V38"/>
    <mergeCell ref="A107:V10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25185-EFF1-4607-B567-CF286E847390}">
  <dimension ref="A2:D392"/>
  <sheetViews>
    <sheetView topLeftCell="A342" zoomScale="72" zoomScaleNormal="72" workbookViewId="0">
      <selection activeCell="D402" sqref="D402"/>
    </sheetView>
  </sheetViews>
  <sheetFormatPr defaultColWidth="8.81640625" defaultRowHeight="14.5"/>
  <cols>
    <col min="1" max="1" width="44.453125" customWidth="1"/>
    <col min="2" max="2" width="23.453125" customWidth="1"/>
    <col min="3" max="3" width="18.453125" customWidth="1"/>
    <col min="4" max="4" width="145.453125" customWidth="1"/>
  </cols>
  <sheetData>
    <row r="2" spans="1:4">
      <c r="A2" s="1416" t="s">
        <v>2662</v>
      </c>
      <c r="B2" s="1417"/>
      <c r="C2" s="1417"/>
      <c r="D2" s="1418"/>
    </row>
    <row r="4" spans="1:4">
      <c r="A4" s="65" t="s">
        <v>2664</v>
      </c>
      <c r="B4" s="65" t="s">
        <v>724</v>
      </c>
      <c r="C4" s="65" t="s">
        <v>19</v>
      </c>
      <c r="D4" s="65" t="s">
        <v>1987</v>
      </c>
    </row>
    <row r="5" spans="1:4">
      <c r="A5" t="s">
        <v>147</v>
      </c>
      <c r="B5" s="75">
        <v>7.6469635290929514E-4</v>
      </c>
      <c r="C5" t="s">
        <v>1988</v>
      </c>
      <c r="D5" t="s">
        <v>2584</v>
      </c>
    </row>
    <row r="6" spans="1:4">
      <c r="A6" t="s">
        <v>1990</v>
      </c>
      <c r="B6" s="75">
        <v>2.3133671180449269E-4</v>
      </c>
      <c r="C6" t="s">
        <v>1991</v>
      </c>
      <c r="D6" t="s">
        <v>2585</v>
      </c>
    </row>
    <row r="7" spans="1:4">
      <c r="A7" t="s">
        <v>1994</v>
      </c>
      <c r="B7" s="75">
        <v>1.1417219598605924E-4</v>
      </c>
      <c r="C7" t="s">
        <v>1991</v>
      </c>
      <c r="D7" t="s">
        <v>2585</v>
      </c>
    </row>
    <row r="8" spans="1:4">
      <c r="A8" t="s">
        <v>1996</v>
      </c>
      <c r="B8" s="75">
        <v>1.1138132008417778E-3</v>
      </c>
      <c r="C8" t="s">
        <v>1997</v>
      </c>
      <c r="D8" t="s">
        <v>2586</v>
      </c>
    </row>
    <row r="9" spans="1:4">
      <c r="A9" t="s">
        <v>1999</v>
      </c>
      <c r="B9" s="75">
        <v>0.2636444539557819</v>
      </c>
      <c r="C9" t="s">
        <v>1991</v>
      </c>
      <c r="D9" t="s">
        <v>2587</v>
      </c>
    </row>
    <row r="10" spans="1:4">
      <c r="A10" t="s">
        <v>2001</v>
      </c>
      <c r="B10" s="75">
        <v>2.6137418226894042</v>
      </c>
      <c r="C10" t="s">
        <v>2002</v>
      </c>
      <c r="D10" t="s">
        <v>2588</v>
      </c>
    </row>
    <row r="11" spans="1:4">
      <c r="A11" t="s">
        <v>369</v>
      </c>
      <c r="B11" s="75">
        <v>3.1467437013401383</v>
      </c>
      <c r="C11" t="s">
        <v>1988</v>
      </c>
      <c r="D11" t="s">
        <v>2589</v>
      </c>
    </row>
    <row r="12" spans="1:4">
      <c r="A12" t="s">
        <v>2004</v>
      </c>
      <c r="B12" s="75">
        <v>0.26654770176057641</v>
      </c>
      <c r="C12" t="s">
        <v>1991</v>
      </c>
      <c r="D12" t="s">
        <v>2585</v>
      </c>
    </row>
    <row r="13" spans="1:4">
      <c r="A13" t="s">
        <v>2006</v>
      </c>
      <c r="B13" s="75">
        <v>0.19460751755885092</v>
      </c>
      <c r="C13" t="s">
        <v>1991</v>
      </c>
      <c r="D13" t="s">
        <v>2585</v>
      </c>
    </row>
    <row r="14" spans="1:4">
      <c r="A14" t="s">
        <v>149</v>
      </c>
      <c r="B14" s="75">
        <v>1.8985044490741234</v>
      </c>
      <c r="C14" t="s">
        <v>1997</v>
      </c>
      <c r="D14" t="s">
        <v>2586</v>
      </c>
    </row>
    <row r="15" spans="1:4">
      <c r="A15" t="s">
        <v>2009</v>
      </c>
      <c r="B15" s="75">
        <v>0.36440822876494067</v>
      </c>
      <c r="C15" t="s">
        <v>1991</v>
      </c>
      <c r="D15" t="s">
        <v>2587</v>
      </c>
    </row>
    <row r="16" spans="1:4">
      <c r="A16" t="s">
        <v>2011</v>
      </c>
      <c r="B16" s="75">
        <v>3.1349630787699354</v>
      </c>
      <c r="C16" t="s">
        <v>1988</v>
      </c>
      <c r="D16" t="s">
        <v>2590</v>
      </c>
    </row>
    <row r="17" spans="1:4">
      <c r="A17" t="s">
        <v>2012</v>
      </c>
      <c r="B17" s="75">
        <v>0.26680536840595198</v>
      </c>
      <c r="C17" t="s">
        <v>1991</v>
      </c>
      <c r="D17" t="s">
        <v>2585</v>
      </c>
    </row>
    <row r="18" spans="1:4">
      <c r="A18" t="s">
        <v>2013</v>
      </c>
      <c r="B18" s="75">
        <v>3.0361222635781773</v>
      </c>
      <c r="C18" t="s">
        <v>1988</v>
      </c>
      <c r="D18" t="s">
        <v>2591</v>
      </c>
    </row>
    <row r="19" spans="1:4">
      <c r="A19" t="s">
        <v>2014</v>
      </c>
      <c r="B19" s="75">
        <v>0.27868536840595204</v>
      </c>
      <c r="C19" t="s">
        <v>1991</v>
      </c>
      <c r="D19" t="s">
        <v>2585</v>
      </c>
    </row>
    <row r="20" spans="1:4">
      <c r="A20" t="s">
        <v>2015</v>
      </c>
      <c r="B20" s="75">
        <v>3.0368523754983543</v>
      </c>
      <c r="C20" t="s">
        <v>1988</v>
      </c>
      <c r="D20" t="s">
        <v>2592</v>
      </c>
    </row>
    <row r="21" spans="1:4">
      <c r="A21" t="s">
        <v>2016</v>
      </c>
      <c r="B21" s="75">
        <v>0.27856771522687845</v>
      </c>
      <c r="C21" t="s">
        <v>1991</v>
      </c>
      <c r="D21" t="s">
        <v>2585</v>
      </c>
    </row>
    <row r="22" spans="1:4">
      <c r="A22" t="s">
        <v>2017</v>
      </c>
      <c r="B22" s="75">
        <v>0.19460751755885092</v>
      </c>
      <c r="C22" t="s">
        <v>1991</v>
      </c>
      <c r="D22" t="s">
        <v>2585</v>
      </c>
    </row>
    <row r="23" spans="1:4">
      <c r="A23" t="s">
        <v>2018</v>
      </c>
      <c r="B23" s="75">
        <v>0.22750463801334597</v>
      </c>
      <c r="C23" t="s">
        <v>1991</v>
      </c>
      <c r="D23" t="s">
        <v>2587</v>
      </c>
    </row>
    <row r="24" spans="1:4">
      <c r="A24" t="s">
        <v>147</v>
      </c>
      <c r="B24" s="75">
        <v>1.332799999999998</v>
      </c>
      <c r="C24" t="s">
        <v>2019</v>
      </c>
      <c r="D24" t="s">
        <v>2593</v>
      </c>
    </row>
    <row r="25" spans="1:4">
      <c r="A25" t="s">
        <v>1990</v>
      </c>
      <c r="B25" s="75">
        <v>0.40319999999999939</v>
      </c>
      <c r="C25" t="s">
        <v>2020</v>
      </c>
      <c r="D25" t="s">
        <v>2587</v>
      </c>
    </row>
    <row r="26" spans="1:4">
      <c r="A26" t="s">
        <v>1994</v>
      </c>
      <c r="B26" s="75">
        <v>0.19654800000000003</v>
      </c>
      <c r="C26" t="s">
        <v>2020</v>
      </c>
      <c r="D26" t="s">
        <v>2587</v>
      </c>
    </row>
    <row r="27" spans="1:4">
      <c r="A27" t="s">
        <v>1996</v>
      </c>
      <c r="B27" s="75">
        <v>1.9174349333333329</v>
      </c>
      <c r="C27" t="s">
        <v>2021</v>
      </c>
      <c r="D27" t="s">
        <v>2594</v>
      </c>
    </row>
    <row r="28" spans="1:4">
      <c r="B28" s="75"/>
    </row>
    <row r="29" spans="1:4">
      <c r="A29" s="65" t="s">
        <v>2665</v>
      </c>
      <c r="B29" s="65" t="s">
        <v>724</v>
      </c>
      <c r="C29" s="65" t="s">
        <v>19</v>
      </c>
      <c r="D29" s="65" t="s">
        <v>1987</v>
      </c>
    </row>
    <row r="30" spans="1:4">
      <c r="A30" t="s">
        <v>2031</v>
      </c>
      <c r="B30" s="75">
        <v>0.14973498757984421</v>
      </c>
      <c r="C30" t="s">
        <v>2002</v>
      </c>
      <c r="D30" t="s">
        <v>2598</v>
      </c>
    </row>
    <row r="31" spans="1:4">
      <c r="A31" t="s">
        <v>2032</v>
      </c>
      <c r="B31" s="75">
        <v>2.5050145501265423E-3</v>
      </c>
      <c r="C31" t="s">
        <v>2002</v>
      </c>
      <c r="D31" t="s">
        <v>2034</v>
      </c>
    </row>
    <row r="32" spans="1:4">
      <c r="A32" t="s">
        <v>2033</v>
      </c>
      <c r="B32" s="75">
        <v>1.8214596E-2</v>
      </c>
      <c r="C32" t="s">
        <v>2002</v>
      </c>
      <c r="D32" t="s">
        <v>2034</v>
      </c>
    </row>
    <row r="33" spans="1:4">
      <c r="A33" t="s">
        <v>241</v>
      </c>
      <c r="B33" s="75">
        <v>2.262568364819908</v>
      </c>
      <c r="C33" t="s">
        <v>2002</v>
      </c>
      <c r="D33" t="s">
        <v>2599</v>
      </c>
    </row>
    <row r="34" spans="1:4">
      <c r="A34" t="s">
        <v>242</v>
      </c>
      <c r="B34" s="75">
        <v>2.2477127389274094</v>
      </c>
      <c r="C34" t="s">
        <v>2002</v>
      </c>
      <c r="D34" t="s">
        <v>2599</v>
      </c>
    </row>
    <row r="35" spans="1:4">
      <c r="A35" t="s">
        <v>2035</v>
      </c>
      <c r="B35" s="75">
        <v>2.262568364819908</v>
      </c>
      <c r="C35" t="s">
        <v>2002</v>
      </c>
      <c r="D35" t="s">
        <v>2599</v>
      </c>
    </row>
    <row r="36" spans="1:4">
      <c r="A36" t="s">
        <v>361</v>
      </c>
      <c r="B36" s="75">
        <v>2.2490503144625804</v>
      </c>
      <c r="C36" t="s">
        <v>2002</v>
      </c>
      <c r="D36" t="s">
        <v>2599</v>
      </c>
    </row>
    <row r="37" spans="1:4">
      <c r="A37" t="s">
        <v>2036</v>
      </c>
      <c r="B37" s="75">
        <v>1.8418078796361145E-2</v>
      </c>
      <c r="C37" t="s">
        <v>1988</v>
      </c>
      <c r="D37" t="s">
        <v>2601</v>
      </c>
    </row>
    <row r="38" spans="1:4">
      <c r="A38" t="s">
        <v>2037</v>
      </c>
      <c r="B38" s="75">
        <v>2.1738082398724833E-2</v>
      </c>
      <c r="C38" t="s">
        <v>1988</v>
      </c>
      <c r="D38" t="s">
        <v>2602</v>
      </c>
    </row>
    <row r="39" spans="1:4">
      <c r="A39" t="s">
        <v>2038</v>
      </c>
      <c r="B39" s="75">
        <v>1.8418078796361145E-2</v>
      </c>
      <c r="C39" t="s">
        <v>1988</v>
      </c>
      <c r="D39" t="s">
        <v>2602</v>
      </c>
    </row>
    <row r="40" spans="1:4">
      <c r="A40" t="s">
        <v>2039</v>
      </c>
      <c r="B40" s="75">
        <v>2.6656886129020223</v>
      </c>
      <c r="C40" t="s">
        <v>1988</v>
      </c>
      <c r="D40" t="s">
        <v>2603</v>
      </c>
    </row>
    <row r="41" spans="1:4">
      <c r="A41" t="s">
        <v>2040</v>
      </c>
      <c r="B41" s="75">
        <v>2.6690086165043856</v>
      </c>
      <c r="C41" t="s">
        <v>1988</v>
      </c>
      <c r="D41" t="s">
        <v>2602</v>
      </c>
    </row>
    <row r="42" spans="1:4">
      <c r="A42" t="s">
        <v>2041</v>
      </c>
      <c r="B42" s="75">
        <v>2.6656886129020223</v>
      </c>
      <c r="C42" t="s">
        <v>1988</v>
      </c>
      <c r="D42" t="s">
        <v>2602</v>
      </c>
    </row>
    <row r="43" spans="1:4">
      <c r="A43" t="s">
        <v>141</v>
      </c>
      <c r="B43" s="75">
        <v>2.653113095499152</v>
      </c>
      <c r="C43" t="s">
        <v>2002</v>
      </c>
      <c r="D43" t="s">
        <v>2588</v>
      </c>
    </row>
    <row r="44" spans="1:4">
      <c r="A44" t="s">
        <v>2042</v>
      </c>
      <c r="B44" s="75">
        <v>2.653113095499152</v>
      </c>
      <c r="C44" t="s">
        <v>2002</v>
      </c>
      <c r="D44" t="s">
        <v>2588</v>
      </c>
    </row>
    <row r="45" spans="1:4">
      <c r="A45" t="s">
        <v>2043</v>
      </c>
      <c r="B45" s="75">
        <v>2.653113095499152</v>
      </c>
      <c r="C45" t="s">
        <v>2002</v>
      </c>
      <c r="D45" t="s">
        <v>2588</v>
      </c>
    </row>
    <row r="46" spans="1:4">
      <c r="A46" t="s">
        <v>2044</v>
      </c>
      <c r="B46" s="75">
        <v>2.653113095499152</v>
      </c>
      <c r="C46" t="s">
        <v>2002</v>
      </c>
      <c r="D46" t="s">
        <v>2588</v>
      </c>
    </row>
    <row r="47" spans="1:4">
      <c r="A47" t="s">
        <v>2045</v>
      </c>
      <c r="B47" s="75">
        <v>2.653113095499152</v>
      </c>
      <c r="C47" t="s">
        <v>2002</v>
      </c>
      <c r="D47" t="s">
        <v>2588</v>
      </c>
    </row>
    <row r="48" spans="1:4">
      <c r="A48" t="s">
        <v>329</v>
      </c>
      <c r="B48" s="75">
        <v>2.6261575679255245</v>
      </c>
      <c r="C48" t="s">
        <v>2002</v>
      </c>
      <c r="D48" t="s">
        <v>2588</v>
      </c>
    </row>
    <row r="49" spans="1:4">
      <c r="A49" t="s">
        <v>2046</v>
      </c>
      <c r="B49" s="75">
        <v>2.653113095499152</v>
      </c>
      <c r="C49" t="s">
        <v>2002</v>
      </c>
      <c r="D49" t="s">
        <v>2588</v>
      </c>
    </row>
    <row r="50" spans="1:4">
      <c r="A50" t="s">
        <v>2047</v>
      </c>
      <c r="B50" s="75">
        <v>2.6322537856063595</v>
      </c>
      <c r="C50" t="s">
        <v>2002</v>
      </c>
      <c r="D50" t="s">
        <v>2588</v>
      </c>
    </row>
    <row r="51" spans="1:4">
      <c r="A51" t="s">
        <v>2048</v>
      </c>
      <c r="B51" s="75">
        <v>2.8966659218280872</v>
      </c>
      <c r="C51" t="s">
        <v>1988</v>
      </c>
      <c r="D51" t="s">
        <v>2604</v>
      </c>
    </row>
    <row r="52" spans="1:4">
      <c r="A52" t="s">
        <v>2049</v>
      </c>
      <c r="B52" s="75">
        <v>2.8966659218280872</v>
      </c>
      <c r="C52" t="s">
        <v>1988</v>
      </c>
      <c r="D52" t="s">
        <v>2604</v>
      </c>
    </row>
    <row r="53" spans="1:4">
      <c r="A53" t="s">
        <v>2050</v>
      </c>
      <c r="B53" s="75">
        <v>2.8966659218280872</v>
      </c>
      <c r="C53" t="s">
        <v>1988</v>
      </c>
      <c r="D53" t="s">
        <v>2605</v>
      </c>
    </row>
    <row r="54" spans="1:4">
      <c r="B54" s="75"/>
    </row>
    <row r="55" spans="1:4">
      <c r="A55" s="65" t="s">
        <v>2022</v>
      </c>
      <c r="B55" s="65"/>
      <c r="C55" s="65"/>
      <c r="D55" s="65"/>
    </row>
    <row r="56" spans="1:4">
      <c r="A56" s="65" t="s">
        <v>489</v>
      </c>
      <c r="B56" s="65" t="s">
        <v>724</v>
      </c>
      <c r="C56" s="65" t="s">
        <v>19</v>
      </c>
      <c r="D56" s="65" t="s">
        <v>1987</v>
      </c>
    </row>
    <row r="57" spans="1:4">
      <c r="A57" t="s">
        <v>164</v>
      </c>
      <c r="B57" s="75">
        <v>2.3133671180449269E-4</v>
      </c>
      <c r="C57" t="s">
        <v>1991</v>
      </c>
      <c r="D57" t="s">
        <v>2587</v>
      </c>
    </row>
    <row r="58" spans="1:4">
      <c r="A58" t="s">
        <v>166</v>
      </c>
      <c r="B58" s="75">
        <v>0</v>
      </c>
      <c r="C58" t="s">
        <v>1991</v>
      </c>
      <c r="D58" t="s">
        <v>2023</v>
      </c>
    </row>
    <row r="59" spans="1:4">
      <c r="A59" t="s">
        <v>328</v>
      </c>
      <c r="B59" s="75">
        <v>0.61196000000000006</v>
      </c>
      <c r="C59" t="s">
        <v>2024</v>
      </c>
      <c r="D59" t="s">
        <v>2595</v>
      </c>
    </row>
    <row r="61" spans="1:4">
      <c r="A61" s="65" t="s">
        <v>2025</v>
      </c>
      <c r="B61" s="65"/>
      <c r="C61" s="65"/>
      <c r="D61" s="65"/>
    </row>
    <row r="62" spans="1:4">
      <c r="A62" s="65" t="s">
        <v>2026</v>
      </c>
      <c r="B62" s="65" t="s">
        <v>2027</v>
      </c>
      <c r="C62" s="65" t="s">
        <v>19</v>
      </c>
      <c r="D62" s="65" t="s">
        <v>1987</v>
      </c>
    </row>
    <row r="63" spans="1:4">
      <c r="A63" t="s">
        <v>545</v>
      </c>
      <c r="B63" s="75">
        <v>2.8917088975561586E-4</v>
      </c>
      <c r="C63" t="s">
        <v>1991</v>
      </c>
      <c r="D63" t="s">
        <v>2596</v>
      </c>
    </row>
    <row r="64" spans="1:4">
      <c r="A64" t="s">
        <v>371</v>
      </c>
      <c r="B64" s="75">
        <v>0.15716923208886271</v>
      </c>
      <c r="C64" t="s">
        <v>1991</v>
      </c>
      <c r="D64" t="s">
        <v>2028</v>
      </c>
    </row>
    <row r="65" spans="1:4">
      <c r="A65" t="s">
        <v>551</v>
      </c>
      <c r="B65" s="75">
        <v>0.47999087624079784</v>
      </c>
      <c r="C65" t="s">
        <v>1991</v>
      </c>
      <c r="D65" t="s">
        <v>2596</v>
      </c>
    </row>
    <row r="66" spans="1:4">
      <c r="A66" t="s">
        <v>554</v>
      </c>
      <c r="B66" s="75">
        <v>0.33318462720072051</v>
      </c>
      <c r="C66" t="s">
        <v>1991</v>
      </c>
      <c r="D66" t="s">
        <v>2596</v>
      </c>
    </row>
    <row r="67" spans="1:4">
      <c r="A67" t="s">
        <v>559</v>
      </c>
      <c r="B67" s="75">
        <v>0.24325939694856363</v>
      </c>
      <c r="C67" t="s">
        <v>1991</v>
      </c>
      <c r="D67" t="s">
        <v>2596</v>
      </c>
    </row>
    <row r="68" spans="1:4">
      <c r="A68" t="s">
        <v>374</v>
      </c>
      <c r="B68" s="75">
        <v>0.45551028595617582</v>
      </c>
      <c r="C68" t="s">
        <v>1991</v>
      </c>
      <c r="D68" t="s">
        <v>2596</v>
      </c>
    </row>
    <row r="69" spans="1:4">
      <c r="A69" t="s">
        <v>565</v>
      </c>
      <c r="B69" s="75">
        <v>0.34835671050744005</v>
      </c>
      <c r="C69" t="s">
        <v>1991</v>
      </c>
      <c r="D69" t="s">
        <v>2596</v>
      </c>
    </row>
    <row r="70" spans="1:4">
      <c r="A70" t="s">
        <v>568</v>
      </c>
      <c r="B70" s="75">
        <v>2.5704079089388076E-4</v>
      </c>
      <c r="C70" t="s">
        <v>1991</v>
      </c>
      <c r="D70" t="s">
        <v>2597</v>
      </c>
    </row>
    <row r="71" spans="1:4">
      <c r="A71" t="s">
        <v>571</v>
      </c>
      <c r="B71" s="75">
        <v>0.47999087624079784</v>
      </c>
      <c r="C71" t="s">
        <v>1991</v>
      </c>
      <c r="D71" t="s">
        <v>2597</v>
      </c>
    </row>
    <row r="72" spans="1:4">
      <c r="A72" t="s">
        <v>373</v>
      </c>
      <c r="B72" s="75">
        <v>0.29616411306730711</v>
      </c>
      <c r="C72" t="s">
        <v>1991</v>
      </c>
      <c r="D72" t="s">
        <v>2597</v>
      </c>
    </row>
    <row r="73" spans="1:4">
      <c r="A73" t="s">
        <v>575</v>
      </c>
      <c r="B73" s="75">
        <v>0.2162305750653899</v>
      </c>
      <c r="C73" t="s">
        <v>1991</v>
      </c>
      <c r="D73" t="s">
        <v>2597</v>
      </c>
    </row>
    <row r="74" spans="1:4">
      <c r="A74" t="s">
        <v>577</v>
      </c>
      <c r="B74" s="75">
        <v>0.3096504093399467</v>
      </c>
      <c r="C74" t="s">
        <v>1991</v>
      </c>
      <c r="D74" t="s">
        <v>2597</v>
      </c>
    </row>
    <row r="76" spans="1:4">
      <c r="A76" s="1416" t="s">
        <v>2491</v>
      </c>
      <c r="B76" s="1417"/>
      <c r="C76" s="1417"/>
      <c r="D76" s="1418"/>
    </row>
    <row r="79" spans="1:4">
      <c r="A79" s="65" t="s">
        <v>1986</v>
      </c>
      <c r="B79" s="65" t="s">
        <v>724</v>
      </c>
      <c r="C79" s="65" t="s">
        <v>19</v>
      </c>
      <c r="D79" s="65" t="s">
        <v>1987</v>
      </c>
    </row>
    <row r="80" spans="1:4">
      <c r="A80" t="s">
        <v>147</v>
      </c>
      <c r="B80" s="75">
        <v>3.04E-2</v>
      </c>
      <c r="C80" t="s">
        <v>1988</v>
      </c>
      <c r="D80" t="s">
        <v>2052</v>
      </c>
    </row>
    <row r="81" spans="1:4">
      <c r="A81" t="s">
        <v>1990</v>
      </c>
      <c r="B81" s="75">
        <v>7.92E-3</v>
      </c>
      <c r="C81" t="s">
        <v>1991</v>
      </c>
      <c r="D81" t="s">
        <v>2052</v>
      </c>
    </row>
    <row r="82" spans="1:4">
      <c r="A82" t="s">
        <v>1994</v>
      </c>
      <c r="B82" s="75">
        <v>2.8410000000000001E-2</v>
      </c>
      <c r="C82" t="s">
        <v>1991</v>
      </c>
      <c r="D82" t="s">
        <v>2052</v>
      </c>
    </row>
    <row r="83" spans="1:4">
      <c r="A83" t="s">
        <v>1996</v>
      </c>
      <c r="B83" s="75">
        <v>137.24347826086958</v>
      </c>
      <c r="C83" t="s">
        <v>1997</v>
      </c>
      <c r="D83" t="s">
        <v>2052</v>
      </c>
    </row>
    <row r="84" spans="1:4">
      <c r="A84" t="s">
        <v>1999</v>
      </c>
      <c r="B84" s="75">
        <v>6.2640000000000001E-2</v>
      </c>
      <c r="C84" t="s">
        <v>1991</v>
      </c>
      <c r="D84" t="s">
        <v>2052</v>
      </c>
    </row>
    <row r="85" spans="1:4">
      <c r="A85" t="s">
        <v>2001</v>
      </c>
      <c r="B85" s="75">
        <v>0.62873999999999997</v>
      </c>
      <c r="C85" t="s">
        <v>2002</v>
      </c>
      <c r="D85" t="s">
        <v>2052</v>
      </c>
    </row>
    <row r="86" spans="1:4">
      <c r="A86" t="s">
        <v>369</v>
      </c>
      <c r="B86" s="75">
        <v>0.74069720999999999</v>
      </c>
      <c r="C86" t="s">
        <v>1988</v>
      </c>
      <c r="D86" t="s">
        <v>2052</v>
      </c>
    </row>
    <row r="87" spans="1:4">
      <c r="A87" t="s">
        <v>2004</v>
      </c>
      <c r="B87" s="75">
        <v>6.2640000000000001E-2</v>
      </c>
      <c r="C87" t="s">
        <v>1991</v>
      </c>
      <c r="D87" t="s">
        <v>2052</v>
      </c>
    </row>
    <row r="88" spans="1:4">
      <c r="A88" t="s">
        <v>2006</v>
      </c>
      <c r="B88" s="75">
        <v>3.4459999999999998E-2</v>
      </c>
      <c r="C88" t="s">
        <v>1991</v>
      </c>
      <c r="D88" t="s">
        <v>2052</v>
      </c>
    </row>
    <row r="89" spans="1:4">
      <c r="A89" t="s">
        <v>149</v>
      </c>
      <c r="B89" s="75">
        <v>0.34339999999999998</v>
      </c>
      <c r="C89" t="s">
        <v>1997</v>
      </c>
      <c r="D89" t="s">
        <v>2052</v>
      </c>
    </row>
    <row r="90" spans="1:4">
      <c r="A90" t="s">
        <v>2011</v>
      </c>
      <c r="B90" s="75">
        <v>0.48221999999999998</v>
      </c>
      <c r="C90" t="s">
        <v>1988</v>
      </c>
      <c r="D90" t="s">
        <v>2054</v>
      </c>
    </row>
    <row r="91" spans="1:4">
      <c r="A91" t="s">
        <v>2012</v>
      </c>
      <c r="B91" s="75">
        <v>4.103996716802627E-2</v>
      </c>
      <c r="C91" t="s">
        <v>1991</v>
      </c>
      <c r="D91" t="s">
        <v>2054</v>
      </c>
    </row>
    <row r="92" spans="1:4">
      <c r="A92" t="s">
        <v>2013</v>
      </c>
      <c r="B92" s="75">
        <v>0.45030000000000003</v>
      </c>
      <c r="C92" t="s">
        <v>1988</v>
      </c>
      <c r="D92" t="s">
        <v>2055</v>
      </c>
    </row>
    <row r="93" spans="1:4">
      <c r="A93" t="s">
        <v>2014</v>
      </c>
      <c r="B93" s="75">
        <v>4.103996716802627E-2</v>
      </c>
      <c r="C93" t="s">
        <v>1991</v>
      </c>
      <c r="D93" t="s">
        <v>2055</v>
      </c>
    </row>
    <row r="94" spans="1:4">
      <c r="A94" t="s">
        <v>2015</v>
      </c>
      <c r="B94" s="75">
        <v>0.70908076000000009</v>
      </c>
      <c r="C94" t="s">
        <v>1988</v>
      </c>
      <c r="D94" t="s">
        <v>2052</v>
      </c>
    </row>
    <row r="95" spans="1:4">
      <c r="A95" t="s">
        <v>2016</v>
      </c>
      <c r="B95" s="75">
        <v>6.2640000000000001E-2</v>
      </c>
      <c r="C95" t="s">
        <v>1991</v>
      </c>
      <c r="D95" t="s">
        <v>2052</v>
      </c>
    </row>
    <row r="96" spans="1:4">
      <c r="A96" t="s">
        <v>2017</v>
      </c>
      <c r="B96" s="75">
        <v>7.0550000000000002E-2</v>
      </c>
      <c r="C96" t="s">
        <v>1991</v>
      </c>
      <c r="D96" t="s">
        <v>2052</v>
      </c>
    </row>
    <row r="97" spans="1:4">
      <c r="A97" t="s">
        <v>2018</v>
      </c>
      <c r="B97" s="75">
        <v>2.7189999999999999E-2</v>
      </c>
      <c r="C97" t="s">
        <v>1991</v>
      </c>
      <c r="D97" t="s">
        <v>2052</v>
      </c>
    </row>
    <row r="99" spans="1:4">
      <c r="A99" s="65" t="s">
        <v>536</v>
      </c>
      <c r="B99" s="65"/>
      <c r="C99" s="65"/>
      <c r="D99" s="65"/>
    </row>
    <row r="100" spans="1:4">
      <c r="A100" t="s">
        <v>489</v>
      </c>
      <c r="B100" s="75">
        <v>5.59</v>
      </c>
      <c r="C100" t="s">
        <v>34</v>
      </c>
      <c r="D100" t="s">
        <v>2056</v>
      </c>
    </row>
    <row r="101" spans="1:4">
      <c r="A101" t="s">
        <v>455</v>
      </c>
      <c r="B101">
        <v>10.4</v>
      </c>
      <c r="C101" t="s">
        <v>34</v>
      </c>
      <c r="D101" t="s">
        <v>2057</v>
      </c>
    </row>
    <row r="103" spans="1:4">
      <c r="A103" s="65" t="s">
        <v>2663</v>
      </c>
      <c r="B103" s="65" t="s">
        <v>724</v>
      </c>
      <c r="C103" s="65" t="s">
        <v>19</v>
      </c>
      <c r="D103" s="65" t="s">
        <v>1987</v>
      </c>
    </row>
    <row r="104" spans="1:4">
      <c r="A104" t="s">
        <v>2031</v>
      </c>
      <c r="B104" s="75">
        <v>0.36332999999999999</v>
      </c>
      <c r="C104" t="s">
        <v>2002</v>
      </c>
      <c r="D104" t="s">
        <v>2052</v>
      </c>
    </row>
    <row r="105" spans="1:4">
      <c r="A105" t="s">
        <v>2032</v>
      </c>
      <c r="B105" s="75">
        <v>0.35177999999999998</v>
      </c>
      <c r="C105" t="s">
        <v>2002</v>
      </c>
      <c r="D105" t="s">
        <v>2052</v>
      </c>
    </row>
    <row r="106" spans="1:4">
      <c r="A106" t="s">
        <v>2033</v>
      </c>
      <c r="B106" s="75">
        <v>0.36332999999999999</v>
      </c>
      <c r="C106" t="s">
        <v>2002</v>
      </c>
      <c r="D106" t="s">
        <v>2052</v>
      </c>
    </row>
    <row r="107" spans="1:4">
      <c r="A107" t="s">
        <v>241</v>
      </c>
      <c r="B107" s="75">
        <v>0.60282999999999998</v>
      </c>
      <c r="C107" t="s">
        <v>2002</v>
      </c>
      <c r="D107" t="s">
        <v>2052</v>
      </c>
    </row>
    <row r="108" spans="1:4">
      <c r="A108" t="s">
        <v>242</v>
      </c>
      <c r="B108" s="75">
        <v>0.60282999999999998</v>
      </c>
      <c r="C108" t="s">
        <v>2002</v>
      </c>
      <c r="D108" t="s">
        <v>2052</v>
      </c>
    </row>
    <row r="109" spans="1:4">
      <c r="A109" t="s">
        <v>2035</v>
      </c>
      <c r="B109" s="75">
        <v>0.60282999999999998</v>
      </c>
      <c r="C109" t="s">
        <v>2002</v>
      </c>
      <c r="D109" t="s">
        <v>2052</v>
      </c>
    </row>
    <row r="110" spans="1:4">
      <c r="A110" t="s">
        <v>361</v>
      </c>
      <c r="B110" s="75">
        <v>0.60282999999999998</v>
      </c>
      <c r="C110" t="s">
        <v>2002</v>
      </c>
      <c r="D110" t="s">
        <v>2052</v>
      </c>
    </row>
    <row r="111" spans="1:4">
      <c r="A111" t="s">
        <v>2036</v>
      </c>
      <c r="B111" s="75">
        <v>0.55701000000000001</v>
      </c>
      <c r="C111" t="s">
        <v>1988</v>
      </c>
      <c r="D111" t="s">
        <v>2052</v>
      </c>
    </row>
    <row r="112" spans="1:4">
      <c r="A112" t="s">
        <v>2037</v>
      </c>
      <c r="B112" s="75">
        <v>0.55701000000000001</v>
      </c>
      <c r="C112" t="s">
        <v>1988</v>
      </c>
      <c r="D112" t="s">
        <v>2052</v>
      </c>
    </row>
    <row r="113" spans="1:4">
      <c r="A113" t="s">
        <v>2038</v>
      </c>
      <c r="B113" s="75">
        <v>0.55701000000000001</v>
      </c>
      <c r="C113" t="s">
        <v>1988</v>
      </c>
      <c r="D113" t="s">
        <v>2052</v>
      </c>
    </row>
    <row r="114" spans="1:4">
      <c r="A114" t="s">
        <v>2039</v>
      </c>
      <c r="B114" s="75">
        <v>0.53761829999999999</v>
      </c>
      <c r="C114" t="s">
        <v>1988</v>
      </c>
      <c r="D114" t="s">
        <v>2052</v>
      </c>
    </row>
    <row r="115" spans="1:4">
      <c r="A115" t="s">
        <v>2040</v>
      </c>
      <c r="B115" s="75">
        <v>0.53761829999999999</v>
      </c>
      <c r="C115" t="s">
        <v>1988</v>
      </c>
      <c r="D115" t="s">
        <v>2052</v>
      </c>
    </row>
    <row r="116" spans="1:4">
      <c r="A116" t="s">
        <v>2041</v>
      </c>
      <c r="B116" s="75">
        <v>0.53761829999999999</v>
      </c>
      <c r="C116" t="s">
        <v>1988</v>
      </c>
      <c r="D116" t="s">
        <v>2052</v>
      </c>
    </row>
    <row r="117" spans="1:4">
      <c r="A117" t="s">
        <v>141</v>
      </c>
      <c r="B117" s="75">
        <v>0.62873999999999997</v>
      </c>
      <c r="C117" t="s">
        <v>2002</v>
      </c>
      <c r="D117" t="s">
        <v>2052</v>
      </c>
    </row>
    <row r="118" spans="1:4">
      <c r="A118" t="s">
        <v>2042</v>
      </c>
      <c r="B118" s="75">
        <v>0.62873999999999997</v>
      </c>
      <c r="C118" t="s">
        <v>2002</v>
      </c>
      <c r="D118" t="s">
        <v>2052</v>
      </c>
    </row>
    <row r="119" spans="1:4">
      <c r="A119" t="s">
        <v>2043</v>
      </c>
      <c r="B119" s="75">
        <v>0.62873999999999997</v>
      </c>
      <c r="C119" t="s">
        <v>2002</v>
      </c>
      <c r="D119" t="s">
        <v>2052</v>
      </c>
    </row>
    <row r="120" spans="1:4">
      <c r="A120" t="s">
        <v>2044</v>
      </c>
      <c r="B120" s="75">
        <v>0.62873999999999997</v>
      </c>
      <c r="C120" t="s">
        <v>2002</v>
      </c>
      <c r="D120" t="s">
        <v>2052</v>
      </c>
    </row>
    <row r="121" spans="1:4">
      <c r="A121" t="s">
        <v>2045</v>
      </c>
      <c r="B121" s="75">
        <v>0.62873999999999997</v>
      </c>
      <c r="C121" t="s">
        <v>2002</v>
      </c>
      <c r="D121" t="s">
        <v>2052</v>
      </c>
    </row>
    <row r="122" spans="1:4">
      <c r="A122" t="s">
        <v>329</v>
      </c>
      <c r="B122" s="75">
        <v>0.62873999999999997</v>
      </c>
      <c r="C122" t="s">
        <v>2002</v>
      </c>
      <c r="D122" t="s">
        <v>2052</v>
      </c>
    </row>
    <row r="123" spans="1:4">
      <c r="A123" t="s">
        <v>2046</v>
      </c>
      <c r="B123" s="75">
        <v>0.62873999999999997</v>
      </c>
      <c r="C123" t="s">
        <v>2002</v>
      </c>
      <c r="D123" t="s">
        <v>2052</v>
      </c>
    </row>
    <row r="124" spans="1:4">
      <c r="A124" t="s">
        <v>2047</v>
      </c>
      <c r="B124" s="75">
        <v>0.62873999999999997</v>
      </c>
      <c r="C124" t="s">
        <v>2002</v>
      </c>
      <c r="D124" t="s">
        <v>2052</v>
      </c>
    </row>
    <row r="125" spans="1:4">
      <c r="A125" t="s">
        <v>2048</v>
      </c>
      <c r="B125" s="75">
        <v>0.18382999999999999</v>
      </c>
      <c r="C125" t="s">
        <v>1988</v>
      </c>
      <c r="D125" t="s">
        <v>2052</v>
      </c>
    </row>
    <row r="126" spans="1:4">
      <c r="A126" t="s">
        <v>2049</v>
      </c>
      <c r="B126" s="75">
        <v>0.18382999999999999</v>
      </c>
      <c r="C126" t="s">
        <v>1988</v>
      </c>
      <c r="D126" t="s">
        <v>2052</v>
      </c>
    </row>
    <row r="127" spans="1:4">
      <c r="A127" t="s">
        <v>2050</v>
      </c>
      <c r="B127" s="75">
        <v>0.18382999999999999</v>
      </c>
      <c r="C127" t="s">
        <v>1988</v>
      </c>
      <c r="D127" t="s">
        <v>2052</v>
      </c>
    </row>
    <row r="130" spans="1:4">
      <c r="A130" s="1416" t="s">
        <v>2666</v>
      </c>
      <c r="B130" s="1417"/>
      <c r="C130" s="1417"/>
      <c r="D130" s="1418"/>
    </row>
    <row r="132" spans="1:4">
      <c r="A132" s="65"/>
      <c r="B132" s="65" t="s">
        <v>2027</v>
      </c>
      <c r="C132" s="65" t="s">
        <v>19</v>
      </c>
      <c r="D132" s="65" t="s">
        <v>1987</v>
      </c>
    </row>
    <row r="133" spans="1:4">
      <c r="A133" t="s">
        <v>2202</v>
      </c>
      <c r="B133" s="75">
        <v>0.14899999999999999</v>
      </c>
      <c r="C133" t="s">
        <v>2203</v>
      </c>
      <c r="D133" t="s">
        <v>2052</v>
      </c>
    </row>
    <row r="134" spans="1:4">
      <c r="A134" t="s">
        <v>2204</v>
      </c>
      <c r="B134" s="75">
        <v>0.27200000000000002</v>
      </c>
      <c r="C134" t="s">
        <v>2203</v>
      </c>
      <c r="D134" t="s">
        <v>2052</v>
      </c>
    </row>
    <row r="137" spans="1:4">
      <c r="A137" s="1416" t="s">
        <v>453</v>
      </c>
      <c r="B137" s="1417"/>
      <c r="C137" s="1417"/>
      <c r="D137" s="1418"/>
    </row>
    <row r="139" spans="1:4">
      <c r="A139" s="65" t="s">
        <v>172</v>
      </c>
      <c r="B139" s="65" t="s">
        <v>2205</v>
      </c>
      <c r="C139" s="65" t="s">
        <v>19</v>
      </c>
      <c r="D139" s="65" t="s">
        <v>1987</v>
      </c>
    </row>
    <row r="140" spans="1:4">
      <c r="A140" t="s">
        <v>383</v>
      </c>
      <c r="B140" s="75">
        <v>28.742058534574149</v>
      </c>
      <c r="C140" t="s">
        <v>2206</v>
      </c>
      <c r="D140" t="s">
        <v>2207</v>
      </c>
    </row>
    <row r="141" spans="1:4">
      <c r="A141" t="s">
        <v>175</v>
      </c>
      <c r="B141" s="75">
        <v>28.742058534574149</v>
      </c>
      <c r="C141" t="s">
        <v>2206</v>
      </c>
      <c r="D141" t="s">
        <v>2207</v>
      </c>
    </row>
    <row r="142" spans="1:4">
      <c r="A142" t="s">
        <v>382</v>
      </c>
      <c r="B142" s="75">
        <v>28.742058534574149</v>
      </c>
      <c r="C142" t="s">
        <v>2206</v>
      </c>
      <c r="D142" t="s">
        <v>2207</v>
      </c>
    </row>
    <row r="143" spans="1:4">
      <c r="A143" t="s">
        <v>285</v>
      </c>
      <c r="B143" s="75">
        <v>28.742058534574149</v>
      </c>
      <c r="C143" t="s">
        <v>2206</v>
      </c>
      <c r="D143" t="s">
        <v>2207</v>
      </c>
    </row>
    <row r="144" spans="1:4">
      <c r="A144" t="s">
        <v>174</v>
      </c>
      <c r="B144" s="75">
        <v>620</v>
      </c>
      <c r="C144" t="s">
        <v>2206</v>
      </c>
      <c r="D144" t="s">
        <v>2208</v>
      </c>
    </row>
    <row r="145" spans="1:4">
      <c r="A145" t="s">
        <v>267</v>
      </c>
      <c r="B145" s="75">
        <v>620</v>
      </c>
      <c r="C145" t="s">
        <v>2206</v>
      </c>
      <c r="D145" t="s">
        <v>2209</v>
      </c>
    </row>
    <row r="146" spans="1:4">
      <c r="A146" t="s">
        <v>268</v>
      </c>
      <c r="B146" s="75">
        <v>547.7420585345742</v>
      </c>
      <c r="C146" t="s">
        <v>2206</v>
      </c>
      <c r="D146" t="s">
        <v>2210</v>
      </c>
    </row>
    <row r="147" spans="1:4">
      <c r="A147" t="s">
        <v>331</v>
      </c>
      <c r="B147" s="75">
        <v>2.7019605751987421</v>
      </c>
      <c r="C147" t="s">
        <v>2211</v>
      </c>
      <c r="D147" t="s">
        <v>2212</v>
      </c>
    </row>
    <row r="149" spans="1:4" ht="15" thickBot="1"/>
    <row r="150" spans="1:4" ht="15" thickBot="1">
      <c r="A150" s="1416" t="s">
        <v>384</v>
      </c>
      <c r="B150" s="1417"/>
      <c r="C150" s="1417"/>
      <c r="D150" s="1418"/>
    </row>
    <row r="152" spans="1:4">
      <c r="A152" s="65" t="s">
        <v>2296</v>
      </c>
      <c r="B152" s="65" t="s">
        <v>724</v>
      </c>
      <c r="C152" s="65" t="s">
        <v>19</v>
      </c>
      <c r="D152" s="65" t="s">
        <v>1987</v>
      </c>
    </row>
    <row r="153" spans="1:4">
      <c r="A153" t="s">
        <v>2297</v>
      </c>
      <c r="B153" s="75">
        <v>8.755345650442159E-2</v>
      </c>
      <c r="C153" t="s">
        <v>2263</v>
      </c>
      <c r="D153" t="s">
        <v>2587</v>
      </c>
    </row>
    <row r="154" spans="1:4">
      <c r="A154" t="s">
        <v>390</v>
      </c>
      <c r="B154" s="75">
        <v>0.13376526870687444</v>
      </c>
      <c r="C154" t="s">
        <v>2263</v>
      </c>
      <c r="D154" t="s">
        <v>2587</v>
      </c>
    </row>
    <row r="155" spans="1:4">
      <c r="A155" t="s">
        <v>2298</v>
      </c>
      <c r="B155" s="75">
        <v>0.11701598191968574</v>
      </c>
      <c r="C155" t="s">
        <v>2263</v>
      </c>
      <c r="D155" t="s">
        <v>2587</v>
      </c>
    </row>
    <row r="156" spans="1:4">
      <c r="A156" t="s">
        <v>2299</v>
      </c>
      <c r="B156" s="75">
        <v>5.6969079549449193E-2</v>
      </c>
      <c r="C156" t="s">
        <v>2263</v>
      </c>
      <c r="D156" t="s">
        <v>2587</v>
      </c>
    </row>
    <row r="157" spans="1:4">
      <c r="A157" t="s">
        <v>388</v>
      </c>
      <c r="B157" s="75">
        <v>5.8903586902355441E-4</v>
      </c>
      <c r="C157" t="s">
        <v>2263</v>
      </c>
      <c r="D157" t="s">
        <v>2300</v>
      </c>
    </row>
    <row r="158" spans="1:4">
      <c r="A158" t="s">
        <v>2301</v>
      </c>
      <c r="B158" s="75">
        <v>0.12844662243344382</v>
      </c>
      <c r="C158" t="s">
        <v>2263</v>
      </c>
      <c r="D158" t="s">
        <v>2587</v>
      </c>
    </row>
    <row r="159" spans="1:4">
      <c r="A159" t="s">
        <v>391</v>
      </c>
      <c r="B159" s="75">
        <v>0.14269576841728057</v>
      </c>
      <c r="C159" t="s">
        <v>2263</v>
      </c>
      <c r="D159" t="s">
        <v>2618</v>
      </c>
    </row>
    <row r="160" spans="1:4">
      <c r="A160" t="s">
        <v>2302</v>
      </c>
      <c r="B160" s="75">
        <v>0.17329376841728059</v>
      </c>
      <c r="C160" t="s">
        <v>2263</v>
      </c>
      <c r="D160" t="s">
        <v>2619</v>
      </c>
    </row>
    <row r="161" spans="1:4">
      <c r="A161" t="s">
        <v>2303</v>
      </c>
      <c r="B161" s="75">
        <v>0.1355439602350843</v>
      </c>
      <c r="C161" t="s">
        <v>2263</v>
      </c>
      <c r="D161" t="s">
        <v>2618</v>
      </c>
    </row>
    <row r="162" spans="1:4">
      <c r="A162" t="s">
        <v>2304</v>
      </c>
      <c r="B162" s="75">
        <v>0.16614196023508432</v>
      </c>
      <c r="C162" t="s">
        <v>2263</v>
      </c>
      <c r="D162" t="s">
        <v>2619</v>
      </c>
    </row>
    <row r="163" spans="1:4">
      <c r="A163" t="s">
        <v>2305</v>
      </c>
      <c r="B163" s="75">
        <v>0</v>
      </c>
      <c r="C163" t="s">
        <v>2263</v>
      </c>
      <c r="D163" t="s">
        <v>2023</v>
      </c>
    </row>
    <row r="164" spans="1:4">
      <c r="A164" t="s">
        <v>392</v>
      </c>
      <c r="B164" s="75">
        <v>0.12239200000000001</v>
      </c>
      <c r="C164" t="s">
        <v>2263</v>
      </c>
      <c r="D164" t="s">
        <v>2306</v>
      </c>
    </row>
    <row r="165" spans="1:4">
      <c r="A165" t="s">
        <v>2307</v>
      </c>
      <c r="B165" s="75">
        <v>0.15390294611693156</v>
      </c>
      <c r="C165" t="s">
        <v>2263</v>
      </c>
      <c r="D165" t="s">
        <v>2587</v>
      </c>
    </row>
    <row r="166" spans="1:4">
      <c r="A166" t="s">
        <v>2308</v>
      </c>
      <c r="B166" s="75">
        <v>0.18758871792042925</v>
      </c>
      <c r="C166" t="s">
        <v>2263</v>
      </c>
      <c r="D166" t="s">
        <v>2587</v>
      </c>
    </row>
    <row r="167" spans="1:4">
      <c r="A167" t="s">
        <v>2309</v>
      </c>
      <c r="B167" s="75">
        <v>9.0111988606593682E-3</v>
      </c>
      <c r="C167" t="s">
        <v>2263</v>
      </c>
      <c r="D167" t="s">
        <v>2620</v>
      </c>
    </row>
    <row r="168" spans="1:4">
      <c r="A168" t="s">
        <v>2310</v>
      </c>
      <c r="B168" s="75">
        <v>1.5948107435081072E-4</v>
      </c>
      <c r="C168" t="s">
        <v>2263</v>
      </c>
      <c r="D168" t="s">
        <v>2621</v>
      </c>
    </row>
    <row r="169" spans="1:4">
      <c r="A169" t="s">
        <v>2311</v>
      </c>
      <c r="B169" s="75">
        <v>0.15854764996049844</v>
      </c>
      <c r="C169" t="s">
        <v>2263</v>
      </c>
      <c r="D169" t="s">
        <v>2587</v>
      </c>
    </row>
    <row r="170" spans="1:4">
      <c r="A170" t="s">
        <v>389</v>
      </c>
      <c r="B170" s="75">
        <v>0.1399602485017529</v>
      </c>
      <c r="C170" t="s">
        <v>2263</v>
      </c>
      <c r="D170" t="s">
        <v>2587</v>
      </c>
    </row>
    <row r="171" spans="1:4">
      <c r="A171" t="s">
        <v>2312</v>
      </c>
      <c r="B171" s="75">
        <v>0.24337856304005165</v>
      </c>
      <c r="C171" t="s">
        <v>2263</v>
      </c>
      <c r="D171" t="s">
        <v>2587</v>
      </c>
    </row>
    <row r="172" spans="1:4">
      <c r="A172" t="s">
        <v>2313</v>
      </c>
      <c r="B172" s="75">
        <v>1.2090542694023832E-2</v>
      </c>
      <c r="C172" t="s">
        <v>2263</v>
      </c>
      <c r="D172" t="s">
        <v>2620</v>
      </c>
    </row>
    <row r="173" spans="1:4">
      <c r="A173" t="s">
        <v>2314</v>
      </c>
      <c r="B173" s="75">
        <v>2.13979601176638E-4</v>
      </c>
      <c r="C173" t="s">
        <v>2263</v>
      </c>
      <c r="D173" t="s">
        <v>2621</v>
      </c>
    </row>
    <row r="174" spans="1:4">
      <c r="A174" t="s">
        <v>2315</v>
      </c>
      <c r="B174" s="75">
        <v>0.21272720317530394</v>
      </c>
      <c r="C174" t="s">
        <v>2263</v>
      </c>
      <c r="D174" t="s">
        <v>2587</v>
      </c>
    </row>
    <row r="175" spans="1:4">
      <c r="A175" t="s">
        <v>2316</v>
      </c>
      <c r="B175" s="75">
        <v>0.21578830678797511</v>
      </c>
      <c r="C175" t="s">
        <v>2263</v>
      </c>
      <c r="D175" t="s">
        <v>2587</v>
      </c>
    </row>
    <row r="176" spans="1:4">
      <c r="A176" t="s">
        <v>2317</v>
      </c>
      <c r="B176" s="75">
        <v>0.1830370236245886</v>
      </c>
      <c r="C176" t="s">
        <v>2263</v>
      </c>
      <c r="D176" t="s">
        <v>2318</v>
      </c>
    </row>
    <row r="177" spans="1:4">
      <c r="A177" t="s">
        <v>2319</v>
      </c>
      <c r="B177" s="75">
        <v>0.18442316975601358</v>
      </c>
      <c r="C177" t="s">
        <v>2263</v>
      </c>
      <c r="D177" t="s">
        <v>2322</v>
      </c>
    </row>
    <row r="178" spans="1:4">
      <c r="A178" t="s">
        <v>2321</v>
      </c>
      <c r="B178" s="75">
        <v>0.19026102455637409</v>
      </c>
      <c r="C178" t="s">
        <v>2263</v>
      </c>
      <c r="D178" t="s">
        <v>2320</v>
      </c>
    </row>
    <row r="179" spans="1:4">
      <c r="A179" t="s">
        <v>2323</v>
      </c>
      <c r="B179" s="75">
        <v>1.0271684509096254E-2</v>
      </c>
      <c r="C179" t="s">
        <v>2263</v>
      </c>
      <c r="D179" t="s">
        <v>2324</v>
      </c>
    </row>
    <row r="180" spans="1:4">
      <c r="A180" t="s">
        <v>2325</v>
      </c>
      <c r="B180" s="75">
        <v>1.8178927201961499E-4</v>
      </c>
      <c r="C180" t="s">
        <v>2263</v>
      </c>
      <c r="D180" t="s">
        <v>2326</v>
      </c>
    </row>
    <row r="181" spans="1:4">
      <c r="A181" t="s">
        <v>2327</v>
      </c>
      <c r="B181" s="75">
        <v>0.18072528031344576</v>
      </c>
      <c r="C181" t="s">
        <v>2263</v>
      </c>
      <c r="D181" t="s">
        <v>2328</v>
      </c>
    </row>
    <row r="182" spans="1:4">
      <c r="A182" t="s">
        <v>2329</v>
      </c>
      <c r="B182" s="75">
        <v>0.15956034956462306</v>
      </c>
      <c r="C182" t="s">
        <v>2263</v>
      </c>
      <c r="D182" t="s">
        <v>2330</v>
      </c>
    </row>
    <row r="183" spans="1:4">
      <c r="A183" t="s">
        <v>2331</v>
      </c>
      <c r="B183" s="75">
        <v>0.1619878620326691</v>
      </c>
      <c r="C183" t="s">
        <v>2263</v>
      </c>
      <c r="D183" t="s">
        <v>2587</v>
      </c>
    </row>
    <row r="184" spans="1:4">
      <c r="A184" t="s">
        <v>2332</v>
      </c>
      <c r="B184" s="75">
        <v>9.0136810368372528E-3</v>
      </c>
      <c r="C184" t="s">
        <v>2263</v>
      </c>
      <c r="D184" t="s">
        <v>2620</v>
      </c>
    </row>
    <row r="185" spans="1:4">
      <c r="A185" t="s">
        <v>2333</v>
      </c>
      <c r="B185" s="75">
        <v>1.5952500414635716E-4</v>
      </c>
      <c r="C185" t="s">
        <v>2263</v>
      </c>
      <c r="D185" t="s">
        <v>2621</v>
      </c>
    </row>
    <row r="186" spans="1:4">
      <c r="A186" t="s">
        <v>2334</v>
      </c>
      <c r="B186" s="75">
        <v>0.15859132264000281</v>
      </c>
      <c r="C186" t="s">
        <v>2263</v>
      </c>
      <c r="D186" t="s">
        <v>2587</v>
      </c>
    </row>
    <row r="187" spans="1:4">
      <c r="A187" t="s">
        <v>2335</v>
      </c>
      <c r="B187" s="75">
        <v>0.11727728619007741</v>
      </c>
      <c r="C187" t="s">
        <v>2263</v>
      </c>
      <c r="D187" t="s">
        <v>2587</v>
      </c>
    </row>
    <row r="188" spans="1:4">
      <c r="A188" t="s">
        <v>2336</v>
      </c>
      <c r="B188" s="75">
        <v>0.18442316975601358</v>
      </c>
      <c r="C188" t="s">
        <v>2263</v>
      </c>
      <c r="D188" t="s">
        <v>2322</v>
      </c>
    </row>
    <row r="189" spans="1:4">
      <c r="A189" t="s">
        <v>395</v>
      </c>
      <c r="B189" s="75">
        <v>3.5698266645053725E-2</v>
      </c>
      <c r="C189" t="s">
        <v>2337</v>
      </c>
      <c r="D189" t="s">
        <v>2622</v>
      </c>
    </row>
    <row r="190" spans="1:4">
      <c r="A190" t="s">
        <v>2338</v>
      </c>
      <c r="B190" s="75">
        <v>0.10778</v>
      </c>
      <c r="C190" t="s">
        <v>2337</v>
      </c>
      <c r="D190" t="s">
        <v>2034</v>
      </c>
    </row>
    <row r="191" spans="1:4">
      <c r="A191" t="s">
        <v>2339</v>
      </c>
      <c r="B191" s="75">
        <v>4.0492233810872198E-2</v>
      </c>
      <c r="C191" t="s">
        <v>2337</v>
      </c>
      <c r="D191" t="s">
        <v>2623</v>
      </c>
    </row>
    <row r="192" spans="1:4">
      <c r="A192" t="s">
        <v>2340</v>
      </c>
      <c r="B192" s="75">
        <v>0.10439710947943634</v>
      </c>
      <c r="C192" t="s">
        <v>2337</v>
      </c>
      <c r="D192" t="s">
        <v>2622</v>
      </c>
    </row>
    <row r="193" spans="1:4">
      <c r="A193" t="s">
        <v>396</v>
      </c>
      <c r="B193" s="75">
        <v>0.15353</v>
      </c>
      <c r="C193" t="s">
        <v>2337</v>
      </c>
      <c r="D193" t="s">
        <v>2034</v>
      </c>
    </row>
    <row r="194" spans="1:4">
      <c r="A194" t="s">
        <v>2341</v>
      </c>
      <c r="B194" s="75">
        <v>0.15101999999999999</v>
      </c>
      <c r="C194" t="s">
        <v>2337</v>
      </c>
      <c r="D194" t="s">
        <v>2034</v>
      </c>
    </row>
    <row r="195" spans="1:4">
      <c r="A195" t="s">
        <v>2342</v>
      </c>
      <c r="B195" s="75">
        <v>0.22652</v>
      </c>
      <c r="C195" t="s">
        <v>2337</v>
      </c>
      <c r="D195" t="s">
        <v>2034</v>
      </c>
    </row>
    <row r="196" spans="1:4">
      <c r="A196" t="s">
        <v>2343</v>
      </c>
      <c r="B196" s="75">
        <v>0.59147000000000005</v>
      </c>
      <c r="C196" t="s">
        <v>2337</v>
      </c>
      <c r="D196" t="s">
        <v>2034</v>
      </c>
    </row>
    <row r="197" spans="1:4">
      <c r="A197" t="s">
        <v>2344</v>
      </c>
      <c r="B197" s="75">
        <v>0.19309000000000001</v>
      </c>
      <c r="C197" t="s">
        <v>2337</v>
      </c>
      <c r="D197" t="s">
        <v>2034</v>
      </c>
    </row>
    <row r="198" spans="1:4">
      <c r="A198" t="s">
        <v>2345</v>
      </c>
      <c r="B198" s="75">
        <v>0.14787</v>
      </c>
      <c r="C198" t="s">
        <v>2337</v>
      </c>
      <c r="D198" t="s">
        <v>2034</v>
      </c>
    </row>
    <row r="199" spans="1:4">
      <c r="A199" t="s">
        <v>2346</v>
      </c>
      <c r="B199" s="75">
        <v>0.42881999999999998</v>
      </c>
      <c r="C199" t="s">
        <v>2337</v>
      </c>
      <c r="D199" t="s">
        <v>2034</v>
      </c>
    </row>
    <row r="200" spans="1:4">
      <c r="A200" t="s">
        <v>2347</v>
      </c>
      <c r="B200" s="75">
        <v>0.24587000000000001</v>
      </c>
      <c r="C200" t="s">
        <v>2337</v>
      </c>
      <c r="D200" t="s">
        <v>2034</v>
      </c>
    </row>
    <row r="201" spans="1:4">
      <c r="A201" t="s">
        <v>2348</v>
      </c>
      <c r="B201" s="75">
        <v>1.874E-2</v>
      </c>
      <c r="C201" t="s">
        <v>2337</v>
      </c>
      <c r="D201" t="s">
        <v>2034</v>
      </c>
    </row>
    <row r="202" spans="1:4">
      <c r="A202" t="s">
        <v>2349</v>
      </c>
      <c r="B202" s="75">
        <v>4.4599999999999996E-3</v>
      </c>
      <c r="C202" t="s">
        <v>2337</v>
      </c>
      <c r="D202" t="s">
        <v>2034</v>
      </c>
    </row>
    <row r="203" spans="1:4">
      <c r="A203" t="s">
        <v>2350</v>
      </c>
      <c r="B203" s="75">
        <v>0</v>
      </c>
      <c r="C203" t="s">
        <v>2337</v>
      </c>
      <c r="D203" t="s">
        <v>2023</v>
      </c>
    </row>
    <row r="204" spans="1:4">
      <c r="A204" t="s">
        <v>2351</v>
      </c>
      <c r="B204" s="75">
        <v>0</v>
      </c>
      <c r="C204" t="s">
        <v>2337</v>
      </c>
      <c r="D204" t="s">
        <v>2023</v>
      </c>
    </row>
    <row r="205" spans="1:4">
      <c r="A205" t="s">
        <v>2352</v>
      </c>
      <c r="B205" s="75">
        <v>8.1503997515484289E-2</v>
      </c>
      <c r="C205" t="s">
        <v>2337</v>
      </c>
      <c r="D205" t="s">
        <v>2624</v>
      </c>
    </row>
    <row r="206" spans="1:4">
      <c r="A206" t="s">
        <v>2353</v>
      </c>
      <c r="B206" s="75">
        <v>2.8000000000000001E-2</v>
      </c>
      <c r="C206" t="s">
        <v>2337</v>
      </c>
      <c r="D206" t="s">
        <v>2034</v>
      </c>
    </row>
    <row r="207" spans="1:4">
      <c r="A207" t="s">
        <v>2354</v>
      </c>
      <c r="B207" s="75">
        <v>0</v>
      </c>
      <c r="C207" t="s">
        <v>2337</v>
      </c>
      <c r="D207" t="s">
        <v>2023</v>
      </c>
    </row>
    <row r="208" spans="1:4">
      <c r="A208" t="s">
        <v>2355</v>
      </c>
      <c r="B208" s="75">
        <v>0</v>
      </c>
      <c r="C208" t="s">
        <v>2337</v>
      </c>
      <c r="D208" t="s">
        <v>2023</v>
      </c>
    </row>
    <row r="211" spans="1:4">
      <c r="A211" s="1416" t="s">
        <v>491</v>
      </c>
      <c r="B211" s="1417"/>
      <c r="C211" s="1417"/>
      <c r="D211" s="1418"/>
    </row>
    <row r="213" spans="1:4">
      <c r="A213" s="65" t="s">
        <v>2357</v>
      </c>
      <c r="B213" s="65" t="s">
        <v>724</v>
      </c>
      <c r="C213" s="65" t="s">
        <v>19</v>
      </c>
      <c r="D213" s="65" t="s">
        <v>1987</v>
      </c>
    </row>
    <row r="214" spans="1:4">
      <c r="A214" t="s">
        <v>403</v>
      </c>
      <c r="B214" s="119">
        <v>7.5883040000000006E-3</v>
      </c>
      <c r="C214" t="s">
        <v>2263</v>
      </c>
      <c r="D214" t="s">
        <v>2358</v>
      </c>
    </row>
    <row r="215" spans="1:4">
      <c r="A215" t="s">
        <v>2359</v>
      </c>
      <c r="B215" s="119">
        <v>0</v>
      </c>
      <c r="C215" t="s">
        <v>2263</v>
      </c>
      <c r="D215" t="s">
        <v>2023</v>
      </c>
    </row>
    <row r="216" spans="1:4">
      <c r="A216" t="s">
        <v>2360</v>
      </c>
      <c r="B216" s="119">
        <v>0</v>
      </c>
      <c r="C216" t="s">
        <v>2263</v>
      </c>
      <c r="D216" t="s">
        <v>2023</v>
      </c>
    </row>
    <row r="217" spans="1:4">
      <c r="A217" t="s">
        <v>2361</v>
      </c>
      <c r="B217" s="119">
        <v>0</v>
      </c>
      <c r="C217" t="s">
        <v>2263</v>
      </c>
      <c r="D217" t="s">
        <v>36</v>
      </c>
    </row>
    <row r="218" spans="1:4">
      <c r="A218" t="s">
        <v>2297</v>
      </c>
      <c r="B218" s="119">
        <v>8.755345650442159E-2</v>
      </c>
      <c r="C218" t="s">
        <v>2263</v>
      </c>
      <c r="D218" t="s">
        <v>2587</v>
      </c>
    </row>
    <row r="219" spans="1:4">
      <c r="A219" t="s">
        <v>390</v>
      </c>
      <c r="B219" s="119">
        <v>0.13376526870687444</v>
      </c>
      <c r="C219" t="s">
        <v>2263</v>
      </c>
      <c r="D219" t="s">
        <v>2587</v>
      </c>
    </row>
    <row r="220" spans="1:4">
      <c r="A220" t="s">
        <v>2298</v>
      </c>
      <c r="B220" s="119">
        <v>0.11701598191968574</v>
      </c>
      <c r="C220" t="s">
        <v>2263</v>
      </c>
      <c r="D220" t="s">
        <v>2587</v>
      </c>
    </row>
    <row r="221" spans="1:4">
      <c r="A221" t="s">
        <v>2299</v>
      </c>
      <c r="B221" s="119">
        <v>5.6969079549449193E-2</v>
      </c>
      <c r="C221" t="s">
        <v>2263</v>
      </c>
      <c r="D221" t="s">
        <v>2587</v>
      </c>
    </row>
    <row r="222" spans="1:4">
      <c r="A222" t="s">
        <v>388</v>
      </c>
      <c r="B222" s="119">
        <v>5.8903586902355441E-4</v>
      </c>
      <c r="C222" t="s">
        <v>2263</v>
      </c>
      <c r="D222" t="s">
        <v>2625</v>
      </c>
    </row>
    <row r="223" spans="1:4">
      <c r="A223" t="s">
        <v>2301</v>
      </c>
      <c r="B223" s="119">
        <v>0.12844662243344382</v>
      </c>
      <c r="C223" t="s">
        <v>2263</v>
      </c>
      <c r="D223" t="s">
        <v>2587</v>
      </c>
    </row>
    <row r="224" spans="1:4">
      <c r="A224" t="s">
        <v>391</v>
      </c>
      <c r="B224" s="119">
        <v>0.14269576841728057</v>
      </c>
      <c r="C224" t="s">
        <v>2263</v>
      </c>
      <c r="D224" t="s">
        <v>2618</v>
      </c>
    </row>
    <row r="225" spans="1:4">
      <c r="A225" t="s">
        <v>2302</v>
      </c>
      <c r="B225" s="119">
        <v>0.1355439602350843</v>
      </c>
      <c r="C225" t="s">
        <v>2263</v>
      </c>
      <c r="D225" t="s">
        <v>2619</v>
      </c>
    </row>
    <row r="226" spans="1:4">
      <c r="A226" t="s">
        <v>2303</v>
      </c>
      <c r="B226" s="119">
        <v>0.17329376841728059</v>
      </c>
      <c r="C226" t="s">
        <v>2263</v>
      </c>
      <c r="D226" t="s">
        <v>2618</v>
      </c>
    </row>
    <row r="227" spans="1:4">
      <c r="A227" t="s">
        <v>2304</v>
      </c>
      <c r="B227" s="119">
        <v>0.16614196023508432</v>
      </c>
      <c r="C227" t="s">
        <v>2263</v>
      </c>
      <c r="D227" t="s">
        <v>2619</v>
      </c>
    </row>
    <row r="228" spans="1:4">
      <c r="A228" t="s">
        <v>2305</v>
      </c>
      <c r="B228" s="119">
        <v>0</v>
      </c>
      <c r="C228" t="s">
        <v>2263</v>
      </c>
      <c r="D228" t="s">
        <v>2023</v>
      </c>
    </row>
    <row r="229" spans="1:4">
      <c r="A229" t="s">
        <v>392</v>
      </c>
      <c r="B229" s="119">
        <v>0.12239200000000001</v>
      </c>
      <c r="C229" t="s">
        <v>2263</v>
      </c>
      <c r="D229" t="s">
        <v>2306</v>
      </c>
    </row>
    <row r="230" spans="1:4">
      <c r="A230" t="s">
        <v>2307</v>
      </c>
      <c r="B230" s="119">
        <v>0.15390294611693156</v>
      </c>
      <c r="C230" t="s">
        <v>2263</v>
      </c>
      <c r="D230" t="s">
        <v>2587</v>
      </c>
    </row>
    <row r="231" spans="1:4">
      <c r="A231" t="s">
        <v>2308</v>
      </c>
      <c r="B231" s="119">
        <v>0.18758871792042925</v>
      </c>
      <c r="C231" t="s">
        <v>2263</v>
      </c>
      <c r="D231" t="s">
        <v>2587</v>
      </c>
    </row>
    <row r="232" spans="1:4">
      <c r="A232" t="s">
        <v>2309</v>
      </c>
      <c r="B232" s="119">
        <v>9.0111988606593682E-3</v>
      </c>
      <c r="C232" t="s">
        <v>2263</v>
      </c>
      <c r="D232" t="s">
        <v>2620</v>
      </c>
    </row>
    <row r="233" spans="1:4">
      <c r="A233" t="s">
        <v>2310</v>
      </c>
      <c r="B233" s="119">
        <v>1.5948107435081072E-4</v>
      </c>
      <c r="C233" t="s">
        <v>2263</v>
      </c>
      <c r="D233" t="s">
        <v>2621</v>
      </c>
    </row>
    <row r="234" spans="1:4">
      <c r="A234" t="s">
        <v>2311</v>
      </c>
      <c r="B234" s="119">
        <v>0.15854764996049844</v>
      </c>
      <c r="C234" t="s">
        <v>2263</v>
      </c>
      <c r="D234" t="s">
        <v>2587</v>
      </c>
    </row>
    <row r="235" spans="1:4">
      <c r="A235" t="s">
        <v>389</v>
      </c>
      <c r="B235" s="119">
        <v>0.1399602485017529</v>
      </c>
      <c r="C235" t="s">
        <v>2263</v>
      </c>
      <c r="D235" t="s">
        <v>2587</v>
      </c>
    </row>
    <row r="236" spans="1:4">
      <c r="A236" t="s">
        <v>2312</v>
      </c>
      <c r="B236" s="119">
        <v>0.24337856304005165</v>
      </c>
      <c r="C236" t="s">
        <v>2263</v>
      </c>
      <c r="D236" t="s">
        <v>2587</v>
      </c>
    </row>
    <row r="237" spans="1:4">
      <c r="A237" t="s">
        <v>2313</v>
      </c>
      <c r="B237" s="119">
        <v>1.2090542694023832E-2</v>
      </c>
      <c r="C237" t="s">
        <v>2263</v>
      </c>
      <c r="D237" t="s">
        <v>2620</v>
      </c>
    </row>
    <row r="238" spans="1:4">
      <c r="A238" t="s">
        <v>2314</v>
      </c>
      <c r="B238" s="119">
        <v>2.13979601176638E-4</v>
      </c>
      <c r="C238" t="s">
        <v>2263</v>
      </c>
      <c r="D238" t="s">
        <v>2621</v>
      </c>
    </row>
    <row r="239" spans="1:4">
      <c r="A239" t="s">
        <v>2315</v>
      </c>
      <c r="B239" s="119">
        <v>0.21272720317530394</v>
      </c>
      <c r="C239" t="s">
        <v>2263</v>
      </c>
      <c r="D239" t="s">
        <v>2587</v>
      </c>
    </row>
    <row r="240" spans="1:4">
      <c r="A240" t="s">
        <v>2316</v>
      </c>
      <c r="B240" s="119">
        <v>0.21578830678797511</v>
      </c>
      <c r="C240" t="s">
        <v>2263</v>
      </c>
      <c r="D240" t="s">
        <v>2587</v>
      </c>
    </row>
    <row r="241" spans="1:4">
      <c r="A241" t="s">
        <v>2317</v>
      </c>
      <c r="B241" s="119">
        <v>0.1830370236245886</v>
      </c>
      <c r="C241" t="s">
        <v>2263</v>
      </c>
      <c r="D241" t="s">
        <v>2626</v>
      </c>
    </row>
    <row r="242" spans="1:4">
      <c r="A242" t="s">
        <v>2319</v>
      </c>
      <c r="B242" s="119">
        <v>0.18442316975601358</v>
      </c>
      <c r="C242" t="s">
        <v>2263</v>
      </c>
      <c r="D242" t="s">
        <v>2627</v>
      </c>
    </row>
    <row r="243" spans="1:4">
      <c r="A243" t="s">
        <v>2321</v>
      </c>
      <c r="B243" s="119">
        <v>0.19026102455637409</v>
      </c>
      <c r="C243" t="s">
        <v>2263</v>
      </c>
      <c r="D243" t="s">
        <v>2628</v>
      </c>
    </row>
    <row r="244" spans="1:4">
      <c r="A244" t="s">
        <v>2323</v>
      </c>
      <c r="B244" s="119">
        <v>1.0271684509096254E-2</v>
      </c>
      <c r="C244" t="s">
        <v>2263</v>
      </c>
      <c r="D244" t="s">
        <v>2620</v>
      </c>
    </row>
    <row r="245" spans="1:4">
      <c r="A245" t="s">
        <v>2325</v>
      </c>
      <c r="B245" s="119">
        <v>1.8178927201961499E-4</v>
      </c>
      <c r="C245" t="s">
        <v>2263</v>
      </c>
      <c r="D245" t="s">
        <v>2621</v>
      </c>
    </row>
    <row r="246" spans="1:4">
      <c r="A246" t="s">
        <v>2327</v>
      </c>
      <c r="B246" s="119">
        <v>0.18072528031344576</v>
      </c>
      <c r="C246" t="s">
        <v>2263</v>
      </c>
      <c r="D246" t="s">
        <v>2629</v>
      </c>
    </row>
    <row r="247" spans="1:4">
      <c r="A247" t="s">
        <v>2329</v>
      </c>
      <c r="B247" s="119">
        <v>0.15956034956462306</v>
      </c>
      <c r="C247" t="s">
        <v>2263</v>
      </c>
      <c r="D247" t="s">
        <v>2630</v>
      </c>
    </row>
    <row r="248" spans="1:4">
      <c r="A248" t="s">
        <v>2331</v>
      </c>
      <c r="B248" s="119">
        <v>0.1619878620326691</v>
      </c>
      <c r="C248" t="s">
        <v>2263</v>
      </c>
      <c r="D248" t="s">
        <v>2587</v>
      </c>
    </row>
    <row r="249" spans="1:4">
      <c r="A249" t="s">
        <v>2332</v>
      </c>
      <c r="B249" s="119">
        <v>9.0136810368372528E-3</v>
      </c>
      <c r="C249" t="s">
        <v>2263</v>
      </c>
      <c r="D249" t="s">
        <v>2620</v>
      </c>
    </row>
    <row r="250" spans="1:4">
      <c r="A250" t="s">
        <v>2333</v>
      </c>
      <c r="B250" s="119">
        <v>1.5952500414635716E-4</v>
      </c>
      <c r="C250" t="s">
        <v>2263</v>
      </c>
      <c r="D250" t="s">
        <v>2621</v>
      </c>
    </row>
    <row r="251" spans="1:4">
      <c r="A251" t="s">
        <v>2334</v>
      </c>
      <c r="B251" s="119">
        <v>0.15859132264000281</v>
      </c>
      <c r="C251" t="s">
        <v>2263</v>
      </c>
      <c r="D251" t="s">
        <v>2587</v>
      </c>
    </row>
    <row r="252" spans="1:4">
      <c r="A252" t="s">
        <v>2335</v>
      </c>
      <c r="B252" s="119">
        <v>0.11727728619007741</v>
      </c>
      <c r="C252" t="s">
        <v>2263</v>
      </c>
      <c r="D252" t="s">
        <v>2587</v>
      </c>
    </row>
    <row r="253" spans="1:4">
      <c r="A253" t="s">
        <v>2336</v>
      </c>
      <c r="B253" s="119">
        <v>0.18442316975601358</v>
      </c>
      <c r="C253" t="s">
        <v>2263</v>
      </c>
      <c r="D253" t="s">
        <v>2627</v>
      </c>
    </row>
    <row r="254" spans="1:4">
      <c r="A254" t="s">
        <v>2362</v>
      </c>
      <c r="B254" s="119">
        <v>4.0492233810872198E-2</v>
      </c>
      <c r="C254" t="s">
        <v>2337</v>
      </c>
      <c r="D254" t="s">
        <v>2623</v>
      </c>
    </row>
    <row r="255" spans="1:4">
      <c r="A255" t="s">
        <v>2363</v>
      </c>
      <c r="B255" s="119">
        <v>0.10439710947943634</v>
      </c>
      <c r="C255" t="s">
        <v>2337</v>
      </c>
      <c r="D255" t="s">
        <v>2622</v>
      </c>
    </row>
    <row r="256" spans="1:4">
      <c r="A256" t="s">
        <v>2364</v>
      </c>
      <c r="B256" s="119">
        <v>2.3222120233711785E-2</v>
      </c>
      <c r="C256" t="s">
        <v>2337</v>
      </c>
      <c r="D256" t="s">
        <v>2631</v>
      </c>
    </row>
    <row r="257" spans="1:4">
      <c r="A257" t="s">
        <v>2365</v>
      </c>
      <c r="B257" s="119">
        <v>8.1503997515484289E-2</v>
      </c>
      <c r="C257" t="s">
        <v>2337</v>
      </c>
      <c r="D257" t="s">
        <v>2624</v>
      </c>
    </row>
    <row r="258" spans="1:4">
      <c r="A258" t="s">
        <v>2366</v>
      </c>
      <c r="B258" s="119">
        <v>0</v>
      </c>
      <c r="C258" t="s">
        <v>2337</v>
      </c>
      <c r="D258" t="s">
        <v>2023</v>
      </c>
    </row>
    <row r="259" spans="1:4">
      <c r="A259" t="s">
        <v>2336</v>
      </c>
      <c r="B259" s="119">
        <v>0.14876</v>
      </c>
      <c r="C259" t="s">
        <v>2337</v>
      </c>
      <c r="D259" t="s">
        <v>2034</v>
      </c>
    </row>
    <row r="260" spans="1:4">
      <c r="A260" t="s">
        <v>2367</v>
      </c>
      <c r="B260" s="119">
        <v>0</v>
      </c>
      <c r="C260" t="s">
        <v>2337</v>
      </c>
      <c r="D260" t="s">
        <v>2023</v>
      </c>
    </row>
    <row r="261" spans="1:4">
      <c r="A261" t="s">
        <v>2368</v>
      </c>
      <c r="B261" s="119">
        <v>0</v>
      </c>
      <c r="C261" t="s">
        <v>2337</v>
      </c>
      <c r="D261" t="s">
        <v>2023</v>
      </c>
    </row>
    <row r="264" spans="1:4">
      <c r="A264" s="1416" t="s">
        <v>2369</v>
      </c>
      <c r="B264" s="1417"/>
      <c r="C264" s="1417"/>
      <c r="D264" s="1418"/>
    </row>
    <row r="266" spans="1:4">
      <c r="A266" s="65" t="s">
        <v>2370</v>
      </c>
      <c r="B266" s="65" t="s">
        <v>2027</v>
      </c>
      <c r="C266" s="65" t="s">
        <v>19</v>
      </c>
      <c r="D266" s="65" t="s">
        <v>1987</v>
      </c>
    </row>
    <row r="267" spans="1:4">
      <c r="A267" t="s">
        <v>259</v>
      </c>
      <c r="B267">
        <v>9122.6364000000012</v>
      </c>
      <c r="C267" t="s">
        <v>2211</v>
      </c>
      <c r="D267" t="s">
        <v>2052</v>
      </c>
    </row>
    <row r="268" spans="1:4">
      <c r="A268" t="s">
        <v>2371</v>
      </c>
      <c r="B268">
        <v>9122.6364000000012</v>
      </c>
      <c r="C268" t="s">
        <v>2211</v>
      </c>
      <c r="D268" t="s">
        <v>2052</v>
      </c>
    </row>
    <row r="269" spans="1:4">
      <c r="A269" t="s">
        <v>260</v>
      </c>
      <c r="B269">
        <v>3116.2915638696181</v>
      </c>
      <c r="C269" t="s">
        <v>2211</v>
      </c>
      <c r="D269" t="s">
        <v>2052</v>
      </c>
    </row>
    <row r="270" spans="1:4">
      <c r="A270" t="s">
        <v>261</v>
      </c>
      <c r="B270">
        <v>2574.1647528352833</v>
      </c>
      <c r="C270" t="s">
        <v>2211</v>
      </c>
      <c r="D270" t="s">
        <v>2052</v>
      </c>
    </row>
    <row r="271" spans="1:4">
      <c r="A271" t="s">
        <v>262</v>
      </c>
      <c r="B271">
        <v>3269.8388922118374</v>
      </c>
      <c r="C271" t="s">
        <v>2211</v>
      </c>
      <c r="D271" t="s">
        <v>2052</v>
      </c>
    </row>
    <row r="272" spans="1:4">
      <c r="A272" t="s">
        <v>263</v>
      </c>
      <c r="B272">
        <v>2600.6363999999999</v>
      </c>
      <c r="C272" t="s">
        <v>2211</v>
      </c>
      <c r="D272" t="s">
        <v>2052</v>
      </c>
    </row>
    <row r="273" spans="1:4">
      <c r="A273" t="s">
        <v>264</v>
      </c>
      <c r="B273">
        <v>4032.3924975609766</v>
      </c>
      <c r="C273" t="s">
        <v>2211</v>
      </c>
      <c r="D273" t="s">
        <v>2052</v>
      </c>
    </row>
    <row r="274" spans="1:4">
      <c r="A274" t="s">
        <v>2372</v>
      </c>
      <c r="B274">
        <v>3104.7269923344943</v>
      </c>
      <c r="C274" t="s">
        <v>2211</v>
      </c>
      <c r="D274" t="s">
        <v>2052</v>
      </c>
    </row>
    <row r="275" spans="1:4">
      <c r="A275" t="s">
        <v>2373</v>
      </c>
      <c r="B275">
        <v>3777.9489000000003</v>
      </c>
      <c r="C275" t="s">
        <v>2211</v>
      </c>
      <c r="D275" t="s">
        <v>2052</v>
      </c>
    </row>
    <row r="276" spans="1:4">
      <c r="A276" t="s">
        <v>2374</v>
      </c>
      <c r="B276">
        <v>3413.0841611940295</v>
      </c>
      <c r="C276" t="s">
        <v>2211</v>
      </c>
      <c r="D276" t="s">
        <v>2052</v>
      </c>
    </row>
    <row r="277" spans="1:4">
      <c r="A277" t="s">
        <v>2375</v>
      </c>
      <c r="B277">
        <v>828.86815599755687</v>
      </c>
      <c r="C277" t="s">
        <v>2211</v>
      </c>
      <c r="D277" t="s">
        <v>2052</v>
      </c>
    </row>
    <row r="278" spans="1:4">
      <c r="A278" t="s">
        <v>2376</v>
      </c>
      <c r="B278">
        <v>884.1607826337796</v>
      </c>
      <c r="C278" t="s">
        <v>2211</v>
      </c>
      <c r="D278" t="s">
        <v>2052</v>
      </c>
    </row>
    <row r="279" spans="1:4">
      <c r="A279" t="s">
        <v>2377</v>
      </c>
      <c r="B279">
        <v>919.39628000000005</v>
      </c>
      <c r="C279" t="s">
        <v>2211</v>
      </c>
      <c r="D279" t="s">
        <v>2052</v>
      </c>
    </row>
    <row r="280" spans="1:4">
      <c r="A280" t="s">
        <v>2378</v>
      </c>
      <c r="B280">
        <v>312.61178017290251</v>
      </c>
      <c r="C280" t="s">
        <v>2211</v>
      </c>
      <c r="D280" t="s">
        <v>2052</v>
      </c>
    </row>
    <row r="282" spans="1:4" ht="15" thickBot="1"/>
    <row r="283" spans="1:4">
      <c r="A283" s="1416" t="s">
        <v>486</v>
      </c>
      <c r="B283" s="1417"/>
      <c r="C283" s="1417"/>
      <c r="D283" s="1418"/>
    </row>
    <row r="285" spans="1:4">
      <c r="A285" s="65" t="s">
        <v>2058</v>
      </c>
      <c r="B285" s="65" t="s">
        <v>2059</v>
      </c>
      <c r="C285" s="65" t="s">
        <v>2060</v>
      </c>
      <c r="D285" s="65" t="s">
        <v>1987</v>
      </c>
    </row>
    <row r="286" spans="1:4">
      <c r="A286" t="s">
        <v>376</v>
      </c>
      <c r="B286" t="s">
        <v>2061</v>
      </c>
      <c r="C286">
        <v>491</v>
      </c>
      <c r="D286" t="s">
        <v>2109</v>
      </c>
    </row>
    <row r="287" spans="1:4">
      <c r="A287" t="s">
        <v>2063</v>
      </c>
      <c r="B287" t="s">
        <v>2064</v>
      </c>
      <c r="C287">
        <v>3170</v>
      </c>
      <c r="D287" t="s">
        <v>2109</v>
      </c>
    </row>
    <row r="288" spans="1:4">
      <c r="A288" t="s">
        <v>2065</v>
      </c>
      <c r="B288" t="s">
        <v>2066</v>
      </c>
      <c r="C288">
        <v>1120</v>
      </c>
      <c r="D288" t="s">
        <v>2109</v>
      </c>
    </row>
    <row r="289" spans="1:4">
      <c r="A289" t="s">
        <v>378</v>
      </c>
      <c r="B289" t="s">
        <v>2066</v>
      </c>
      <c r="C289">
        <v>1300</v>
      </c>
      <c r="D289" t="s">
        <v>2109</v>
      </c>
    </row>
    <row r="290" spans="1:4">
      <c r="A290" t="s">
        <v>2067</v>
      </c>
      <c r="B290" t="s">
        <v>2068</v>
      </c>
      <c r="C290">
        <v>328</v>
      </c>
      <c r="D290" t="s">
        <v>2109</v>
      </c>
    </row>
    <row r="291" spans="1:4">
      <c r="A291" t="s">
        <v>2069</v>
      </c>
      <c r="B291" t="s">
        <v>2068</v>
      </c>
      <c r="C291">
        <v>4800</v>
      </c>
      <c r="D291" t="s">
        <v>2109</v>
      </c>
    </row>
    <row r="292" spans="1:4">
      <c r="A292" t="s">
        <v>2070</v>
      </c>
      <c r="B292" t="s">
        <v>2071</v>
      </c>
      <c r="C292">
        <v>16</v>
      </c>
      <c r="D292" t="s">
        <v>2109</v>
      </c>
    </row>
    <row r="293" spans="1:4">
      <c r="A293" t="s">
        <v>2072</v>
      </c>
      <c r="B293" t="s">
        <v>2071</v>
      </c>
      <c r="C293">
        <v>138</v>
      </c>
      <c r="D293" t="s">
        <v>2109</v>
      </c>
    </row>
    <row r="294" spans="1:4">
      <c r="A294" t="s">
        <v>2073</v>
      </c>
      <c r="B294" t="s">
        <v>2074</v>
      </c>
      <c r="C294">
        <v>4</v>
      </c>
      <c r="D294" t="s">
        <v>2109</v>
      </c>
    </row>
    <row r="295" spans="1:4">
      <c r="A295" t="s">
        <v>2075</v>
      </c>
      <c r="B295" t="s">
        <v>2076</v>
      </c>
      <c r="C295">
        <v>3350</v>
      </c>
      <c r="D295" t="s">
        <v>2109</v>
      </c>
    </row>
    <row r="296" spans="1:4">
      <c r="A296" t="s">
        <v>379</v>
      </c>
      <c r="B296" t="s">
        <v>2077</v>
      </c>
      <c r="C296">
        <v>12400</v>
      </c>
      <c r="D296" t="s">
        <v>2109</v>
      </c>
    </row>
    <row r="297" spans="1:4">
      <c r="A297" t="s">
        <v>2078</v>
      </c>
      <c r="B297" t="s">
        <v>2079</v>
      </c>
      <c r="C297">
        <v>1210</v>
      </c>
      <c r="D297" t="s">
        <v>2109</v>
      </c>
    </row>
    <row r="298" spans="1:4">
      <c r="A298" t="s">
        <v>2080</v>
      </c>
      <c r="B298" t="s">
        <v>2079</v>
      </c>
      <c r="C298">
        <v>1330</v>
      </c>
      <c r="D298" t="s">
        <v>2109</v>
      </c>
    </row>
    <row r="299" spans="1:4">
      <c r="A299" t="s">
        <v>2081</v>
      </c>
      <c r="B299" t="s">
        <v>2079</v>
      </c>
      <c r="C299">
        <v>8060</v>
      </c>
      <c r="D299" t="s">
        <v>2109</v>
      </c>
    </row>
    <row r="300" spans="1:4">
      <c r="A300" t="s">
        <v>2082</v>
      </c>
      <c r="B300" t="s">
        <v>2083</v>
      </c>
      <c r="C300">
        <v>716</v>
      </c>
      <c r="D300" t="s">
        <v>2109</v>
      </c>
    </row>
    <row r="301" spans="1:4">
      <c r="A301" t="s">
        <v>2084</v>
      </c>
      <c r="B301" t="s">
        <v>2083</v>
      </c>
      <c r="C301">
        <v>858</v>
      </c>
      <c r="D301" t="s">
        <v>2109</v>
      </c>
    </row>
    <row r="302" spans="1:4">
      <c r="A302" t="s">
        <v>2085</v>
      </c>
      <c r="B302" t="s">
        <v>2086</v>
      </c>
      <c r="C302">
        <v>677</v>
      </c>
      <c r="D302" t="s">
        <v>2109</v>
      </c>
    </row>
    <row r="303" spans="1:4">
      <c r="A303" t="s">
        <v>2087</v>
      </c>
      <c r="B303" t="s">
        <v>2088</v>
      </c>
      <c r="C303">
        <v>804</v>
      </c>
      <c r="D303" t="s">
        <v>2109</v>
      </c>
    </row>
    <row r="304" spans="1:4">
      <c r="A304" t="s">
        <v>2089</v>
      </c>
      <c r="B304" t="s">
        <v>2090</v>
      </c>
      <c r="C304">
        <v>116</v>
      </c>
      <c r="D304" t="s">
        <v>2109</v>
      </c>
    </row>
    <row r="305" spans="1:4">
      <c r="A305" t="s">
        <v>2091</v>
      </c>
      <c r="B305" t="s">
        <v>2092</v>
      </c>
      <c r="C305">
        <v>1650</v>
      </c>
      <c r="D305" t="s">
        <v>2109</v>
      </c>
    </row>
    <row r="306" spans="1:4">
      <c r="A306" t="s">
        <v>2093</v>
      </c>
      <c r="B306" t="s">
        <v>2094</v>
      </c>
      <c r="C306">
        <v>12400</v>
      </c>
      <c r="D306" t="s">
        <v>2109</v>
      </c>
    </row>
    <row r="307" spans="1:4">
      <c r="A307" t="s">
        <v>2095</v>
      </c>
      <c r="B307" t="s">
        <v>2096</v>
      </c>
      <c r="C307">
        <v>5560</v>
      </c>
      <c r="D307" t="s">
        <v>2109</v>
      </c>
    </row>
    <row r="308" spans="1:4">
      <c r="A308" t="s">
        <v>2097</v>
      </c>
      <c r="B308" t="s">
        <v>2098</v>
      </c>
      <c r="C308">
        <v>523</v>
      </c>
      <c r="D308" t="s">
        <v>2109</v>
      </c>
    </row>
    <row r="309" spans="1:4">
      <c r="A309" t="s">
        <v>2099</v>
      </c>
      <c r="B309" t="s">
        <v>2100</v>
      </c>
      <c r="C309">
        <v>5350</v>
      </c>
      <c r="D309" t="s">
        <v>2109</v>
      </c>
    </row>
    <row r="310" spans="1:4">
      <c r="A310" t="s">
        <v>2101</v>
      </c>
      <c r="B310" t="s">
        <v>2102</v>
      </c>
      <c r="C310">
        <v>654</v>
      </c>
      <c r="D310" t="s">
        <v>2109</v>
      </c>
    </row>
    <row r="311" spans="1:4">
      <c r="A311" t="s">
        <v>2103</v>
      </c>
      <c r="B311" t="s">
        <v>2104</v>
      </c>
      <c r="C311">
        <v>812</v>
      </c>
      <c r="D311" t="s">
        <v>2109</v>
      </c>
    </row>
    <row r="312" spans="1:4">
      <c r="A312" t="s">
        <v>2105</v>
      </c>
      <c r="B312" t="s">
        <v>2106</v>
      </c>
      <c r="C312">
        <v>2910</v>
      </c>
      <c r="D312" t="s">
        <v>2109</v>
      </c>
    </row>
    <row r="313" spans="1:4">
      <c r="A313" t="s">
        <v>2107</v>
      </c>
      <c r="B313" t="s">
        <v>2108</v>
      </c>
      <c r="C313">
        <v>530</v>
      </c>
      <c r="D313" t="s">
        <v>2109</v>
      </c>
    </row>
    <row r="314" spans="1:4">
      <c r="A314" t="s">
        <v>2606</v>
      </c>
      <c r="B314" t="s">
        <v>2607</v>
      </c>
      <c r="C314">
        <v>854</v>
      </c>
      <c r="D314" t="s">
        <v>2109</v>
      </c>
    </row>
    <row r="315" spans="1:4">
      <c r="A315" t="s">
        <v>2110</v>
      </c>
      <c r="B315" t="s">
        <v>2111</v>
      </c>
      <c r="C315">
        <v>889</v>
      </c>
      <c r="D315" t="s">
        <v>2109</v>
      </c>
    </row>
    <row r="316" spans="1:4">
      <c r="A316" t="s">
        <v>2608</v>
      </c>
      <c r="B316" t="s">
        <v>2609</v>
      </c>
      <c r="C316">
        <v>387</v>
      </c>
      <c r="D316" t="s">
        <v>2109</v>
      </c>
    </row>
    <row r="317" spans="1:4">
      <c r="A317" t="s">
        <v>2610</v>
      </c>
      <c r="B317" t="s">
        <v>2611</v>
      </c>
      <c r="C317">
        <v>719</v>
      </c>
      <c r="D317" t="s">
        <v>2109</v>
      </c>
    </row>
    <row r="318" spans="1:4">
      <c r="A318" t="s">
        <v>2112</v>
      </c>
      <c r="B318" t="s">
        <v>2113</v>
      </c>
      <c r="C318">
        <v>413</v>
      </c>
      <c r="D318" t="s">
        <v>2109</v>
      </c>
    </row>
    <row r="319" spans="1:4">
      <c r="A319" t="s">
        <v>2114</v>
      </c>
      <c r="B319" t="s">
        <v>2115</v>
      </c>
      <c r="C319">
        <v>446</v>
      </c>
      <c r="D319" t="s">
        <v>2109</v>
      </c>
    </row>
    <row r="320" spans="1:4">
      <c r="A320" t="s">
        <v>2116</v>
      </c>
      <c r="B320" t="s">
        <v>2117</v>
      </c>
      <c r="C320">
        <v>627</v>
      </c>
      <c r="D320" t="s">
        <v>2109</v>
      </c>
    </row>
    <row r="321" spans="1:4">
      <c r="A321" t="s">
        <v>2118</v>
      </c>
      <c r="B321" t="s">
        <v>2119</v>
      </c>
      <c r="C321">
        <v>2820</v>
      </c>
      <c r="D321" t="s">
        <v>2109</v>
      </c>
    </row>
    <row r="322" spans="1:4">
      <c r="A322" t="s">
        <v>2120</v>
      </c>
      <c r="B322" t="s">
        <v>2121</v>
      </c>
      <c r="C322">
        <v>421</v>
      </c>
      <c r="D322" t="s">
        <v>2109</v>
      </c>
    </row>
    <row r="323" spans="1:4">
      <c r="A323" t="s">
        <v>2122</v>
      </c>
      <c r="B323" t="s">
        <v>2123</v>
      </c>
      <c r="C323">
        <v>57</v>
      </c>
      <c r="D323" t="s">
        <v>2109</v>
      </c>
    </row>
    <row r="324" spans="1:4">
      <c r="A324" t="s">
        <v>2124</v>
      </c>
      <c r="B324" t="s">
        <v>2125</v>
      </c>
      <c r="C324">
        <v>16100</v>
      </c>
      <c r="D324" t="s">
        <v>2109</v>
      </c>
    </row>
    <row r="325" spans="1:4">
      <c r="A325" t="s">
        <v>2126</v>
      </c>
      <c r="B325" t="s">
        <v>2127</v>
      </c>
      <c r="C325">
        <v>11100</v>
      </c>
      <c r="D325" t="s">
        <v>2109</v>
      </c>
    </row>
    <row r="326" spans="1:4">
      <c r="A326" t="s">
        <v>2128</v>
      </c>
      <c r="B326" t="s">
        <v>2129</v>
      </c>
      <c r="C326">
        <v>6630</v>
      </c>
      <c r="D326" t="s">
        <v>2109</v>
      </c>
    </row>
    <row r="327" spans="1:4">
      <c r="A327" t="s">
        <v>2130</v>
      </c>
      <c r="B327" t="s">
        <v>2131</v>
      </c>
      <c r="C327">
        <v>8900</v>
      </c>
      <c r="D327" t="s">
        <v>2109</v>
      </c>
    </row>
    <row r="328" spans="1:4">
      <c r="A328" t="s">
        <v>2612</v>
      </c>
      <c r="B328" t="s">
        <v>2132</v>
      </c>
      <c r="C328">
        <v>9200</v>
      </c>
      <c r="D328" t="s">
        <v>2109</v>
      </c>
    </row>
    <row r="329" spans="1:4">
      <c r="A329" t="s">
        <v>2133</v>
      </c>
      <c r="B329" t="s">
        <v>2134</v>
      </c>
      <c r="C329">
        <v>9540</v>
      </c>
      <c r="D329" t="s">
        <v>2109</v>
      </c>
    </row>
    <row r="330" spans="1:4">
      <c r="A330" t="s">
        <v>2613</v>
      </c>
      <c r="B330" t="s">
        <v>2135</v>
      </c>
      <c r="C330">
        <v>8550</v>
      </c>
      <c r="D330" t="s">
        <v>2109</v>
      </c>
    </row>
    <row r="331" spans="1:4">
      <c r="A331" t="s">
        <v>2614</v>
      </c>
      <c r="B331" t="s">
        <v>2136</v>
      </c>
      <c r="C331">
        <v>7910</v>
      </c>
      <c r="D331" t="s">
        <v>2109</v>
      </c>
    </row>
    <row r="332" spans="1:4">
      <c r="A332" t="s">
        <v>2615</v>
      </c>
      <c r="B332" t="s">
        <v>2137</v>
      </c>
      <c r="C332">
        <v>7190</v>
      </c>
      <c r="D332" t="s">
        <v>2109</v>
      </c>
    </row>
    <row r="333" spans="1:4">
      <c r="A333" t="s">
        <v>2138</v>
      </c>
      <c r="B333" t="s">
        <v>2139</v>
      </c>
      <c r="C333">
        <v>9710</v>
      </c>
      <c r="D333" t="s">
        <v>2109</v>
      </c>
    </row>
    <row r="334" spans="1:4">
      <c r="A334" t="s">
        <v>2140</v>
      </c>
      <c r="B334" t="s">
        <v>2141</v>
      </c>
      <c r="C334">
        <v>1129.92</v>
      </c>
      <c r="D334" t="s">
        <v>2109</v>
      </c>
    </row>
    <row r="335" spans="1:4">
      <c r="A335" t="s">
        <v>2142</v>
      </c>
      <c r="B335" t="s">
        <v>2141</v>
      </c>
      <c r="C335">
        <v>1236.3399999999999</v>
      </c>
      <c r="D335" t="s">
        <v>2109</v>
      </c>
    </row>
    <row r="336" spans="1:4">
      <c r="A336" t="s">
        <v>2143</v>
      </c>
      <c r="B336" t="s">
        <v>2141</v>
      </c>
      <c r="C336">
        <v>875.54</v>
      </c>
      <c r="D336" t="s">
        <v>2109</v>
      </c>
    </row>
    <row r="337" spans="1:4">
      <c r="A337" t="s">
        <v>2144</v>
      </c>
      <c r="B337" t="s">
        <v>2141</v>
      </c>
      <c r="C337">
        <v>2570.9</v>
      </c>
      <c r="D337" t="s">
        <v>2109</v>
      </c>
    </row>
    <row r="338" spans="1:4">
      <c r="A338" t="s">
        <v>2145</v>
      </c>
      <c r="B338" t="s">
        <v>2141</v>
      </c>
      <c r="C338">
        <v>2260.6799999999998</v>
      </c>
      <c r="D338" t="s">
        <v>2109</v>
      </c>
    </row>
    <row r="339" spans="1:4">
      <c r="A339" t="s">
        <v>2147</v>
      </c>
      <c r="B339" t="s">
        <v>2146</v>
      </c>
      <c r="C339">
        <v>4456.8</v>
      </c>
      <c r="D339" t="s">
        <v>2109</v>
      </c>
    </row>
    <row r="340" spans="1:4">
      <c r="A340" t="s">
        <v>2148</v>
      </c>
      <c r="B340" t="s">
        <v>2141</v>
      </c>
      <c r="C340">
        <v>3942.8</v>
      </c>
      <c r="D340" t="s">
        <v>2109</v>
      </c>
    </row>
    <row r="341" spans="1:4">
      <c r="A341" t="s">
        <v>2149</v>
      </c>
      <c r="B341" t="s">
        <v>2141</v>
      </c>
      <c r="C341">
        <v>1923.4</v>
      </c>
      <c r="D341" t="s">
        <v>2109</v>
      </c>
    </row>
    <row r="342" spans="1:4">
      <c r="A342" t="s">
        <v>2150</v>
      </c>
      <c r="B342" t="s">
        <v>2141</v>
      </c>
      <c r="C342">
        <v>2546.6999999999998</v>
      </c>
      <c r="D342" t="s">
        <v>2109</v>
      </c>
    </row>
    <row r="343" spans="1:4">
      <c r="A343" t="s">
        <v>2151</v>
      </c>
      <c r="B343" t="s">
        <v>2141</v>
      </c>
      <c r="C343">
        <v>1624.3</v>
      </c>
      <c r="D343" t="s">
        <v>2109</v>
      </c>
    </row>
    <row r="344" spans="1:4">
      <c r="A344" t="s">
        <v>2152</v>
      </c>
      <c r="B344" t="s">
        <v>2141</v>
      </c>
      <c r="C344">
        <v>1487.1</v>
      </c>
      <c r="D344" t="s">
        <v>2109</v>
      </c>
    </row>
    <row r="345" spans="1:4">
      <c r="A345" t="s">
        <v>2153</v>
      </c>
      <c r="B345" t="s">
        <v>2141</v>
      </c>
      <c r="C345">
        <v>1424.8</v>
      </c>
      <c r="D345" t="s">
        <v>2109</v>
      </c>
    </row>
    <row r="346" spans="1:4">
      <c r="A346" t="s">
        <v>2154</v>
      </c>
      <c r="B346" t="s">
        <v>2141</v>
      </c>
      <c r="C346">
        <v>1674.1</v>
      </c>
      <c r="D346" t="s">
        <v>2109</v>
      </c>
    </row>
    <row r="347" spans="1:4">
      <c r="A347" t="s">
        <v>2155</v>
      </c>
      <c r="B347" t="s">
        <v>2141</v>
      </c>
      <c r="C347">
        <v>3257.1</v>
      </c>
      <c r="D347" t="s">
        <v>2109</v>
      </c>
    </row>
    <row r="348" spans="1:4">
      <c r="A348" t="s">
        <v>2156</v>
      </c>
      <c r="B348" t="s">
        <v>2141</v>
      </c>
      <c r="C348">
        <v>1923.5</v>
      </c>
      <c r="D348" t="s">
        <v>2109</v>
      </c>
    </row>
    <row r="349" spans="1:4">
      <c r="A349" t="s">
        <v>2157</v>
      </c>
      <c r="B349" t="s">
        <v>2141</v>
      </c>
      <c r="C349">
        <v>2048.1999999999998</v>
      </c>
      <c r="D349" t="s">
        <v>2109</v>
      </c>
    </row>
    <row r="350" spans="1:4">
      <c r="A350" t="s">
        <v>2158</v>
      </c>
      <c r="B350" t="s">
        <v>2141</v>
      </c>
      <c r="C350">
        <v>1555.21</v>
      </c>
      <c r="D350" t="s">
        <v>2109</v>
      </c>
    </row>
    <row r="351" spans="1:4">
      <c r="A351" t="s">
        <v>2159</v>
      </c>
      <c r="B351" t="s">
        <v>2141</v>
      </c>
      <c r="C351">
        <v>1658.6</v>
      </c>
      <c r="D351" t="s">
        <v>2109</v>
      </c>
    </row>
    <row r="352" spans="1:4">
      <c r="A352" t="s">
        <v>2616</v>
      </c>
      <c r="B352" t="s">
        <v>2146</v>
      </c>
      <c r="C352">
        <v>8550</v>
      </c>
      <c r="D352" t="s">
        <v>2109</v>
      </c>
    </row>
    <row r="353" spans="1:4">
      <c r="A353" t="s">
        <v>2160</v>
      </c>
      <c r="B353" t="s">
        <v>2141</v>
      </c>
      <c r="C353">
        <v>975.23</v>
      </c>
      <c r="D353" t="s">
        <v>2109</v>
      </c>
    </row>
    <row r="354" spans="1:4">
      <c r="A354" t="s">
        <v>2161</v>
      </c>
      <c r="B354" t="s">
        <v>2141</v>
      </c>
      <c r="C354">
        <v>2127.4</v>
      </c>
      <c r="D354" t="s">
        <v>2109</v>
      </c>
    </row>
    <row r="355" spans="1:4">
      <c r="A355" t="s">
        <v>2162</v>
      </c>
      <c r="B355" t="s">
        <v>2141</v>
      </c>
      <c r="C355">
        <v>2742.4</v>
      </c>
      <c r="D355" t="s">
        <v>2109</v>
      </c>
    </row>
    <row r="356" spans="1:4">
      <c r="A356" t="s">
        <v>2163</v>
      </c>
      <c r="B356" t="s">
        <v>2141</v>
      </c>
      <c r="C356">
        <v>1642.6999999999998</v>
      </c>
      <c r="D356" t="s">
        <v>2109</v>
      </c>
    </row>
    <row r="357" spans="1:4">
      <c r="A357" t="s">
        <v>2164</v>
      </c>
      <c r="B357" t="s">
        <v>2141</v>
      </c>
      <c r="C357">
        <v>2688</v>
      </c>
      <c r="D357" t="s">
        <v>2109</v>
      </c>
    </row>
    <row r="358" spans="1:4">
      <c r="A358" t="s">
        <v>2165</v>
      </c>
      <c r="B358" t="s">
        <v>2141</v>
      </c>
      <c r="C358">
        <v>2161.5</v>
      </c>
      <c r="D358" t="s">
        <v>2109</v>
      </c>
    </row>
    <row r="359" spans="1:4">
      <c r="A359" t="s">
        <v>2166</v>
      </c>
      <c r="B359" t="s">
        <v>2141</v>
      </c>
      <c r="C359">
        <v>1381.6</v>
      </c>
      <c r="D359" t="s">
        <v>2109</v>
      </c>
    </row>
    <row r="360" spans="1:4">
      <c r="A360" t="s">
        <v>2167</v>
      </c>
      <c r="B360" t="s">
        <v>2141</v>
      </c>
      <c r="C360">
        <v>2384.6</v>
      </c>
      <c r="D360" t="s">
        <v>2109</v>
      </c>
    </row>
    <row r="361" spans="1:4">
      <c r="A361" t="s">
        <v>2168</v>
      </c>
      <c r="B361" t="s">
        <v>2141</v>
      </c>
      <c r="C361">
        <v>2889.5</v>
      </c>
      <c r="D361" t="s">
        <v>2109</v>
      </c>
    </row>
    <row r="362" spans="1:4">
      <c r="A362" t="s">
        <v>2169</v>
      </c>
      <c r="B362" t="s">
        <v>2141</v>
      </c>
      <c r="C362">
        <v>2847.2999999999997</v>
      </c>
      <c r="D362" t="s">
        <v>2109</v>
      </c>
    </row>
    <row r="363" spans="1:4">
      <c r="A363" t="s">
        <v>2170</v>
      </c>
      <c r="B363" t="s">
        <v>2141</v>
      </c>
      <c r="C363">
        <v>2289.6</v>
      </c>
      <c r="D363" t="s">
        <v>2109</v>
      </c>
    </row>
    <row r="364" spans="1:4">
      <c r="A364" t="s">
        <v>2171</v>
      </c>
      <c r="B364" t="s">
        <v>2141</v>
      </c>
      <c r="C364">
        <v>2794.5</v>
      </c>
      <c r="D364" t="s">
        <v>2109</v>
      </c>
    </row>
    <row r="365" spans="1:4">
      <c r="A365" t="s">
        <v>2172</v>
      </c>
      <c r="B365" t="s">
        <v>2141</v>
      </c>
      <c r="C365">
        <v>2473.2999999999997</v>
      </c>
      <c r="D365" t="s">
        <v>2109</v>
      </c>
    </row>
    <row r="366" spans="1:4">
      <c r="A366" t="s">
        <v>2173</v>
      </c>
      <c r="B366" t="s">
        <v>2141</v>
      </c>
      <c r="C366">
        <v>2349.6</v>
      </c>
      <c r="D366" t="s">
        <v>2109</v>
      </c>
    </row>
    <row r="367" spans="1:4">
      <c r="A367" t="s">
        <v>2174</v>
      </c>
      <c r="B367" t="s">
        <v>2141</v>
      </c>
      <c r="C367">
        <v>2273.7999999999997</v>
      </c>
      <c r="D367" t="s">
        <v>2109</v>
      </c>
    </row>
    <row r="368" spans="1:4">
      <c r="A368" t="s">
        <v>2175</v>
      </c>
      <c r="B368" t="s">
        <v>2141</v>
      </c>
      <c r="C368">
        <v>2212</v>
      </c>
      <c r="D368" t="s">
        <v>2109</v>
      </c>
    </row>
    <row r="369" spans="1:4">
      <c r="A369" t="s">
        <v>2176</v>
      </c>
      <c r="B369" t="s">
        <v>2141</v>
      </c>
      <c r="C369">
        <v>1430.8</v>
      </c>
      <c r="D369" t="s">
        <v>2109</v>
      </c>
    </row>
    <row r="370" spans="1:4">
      <c r="A370" t="s">
        <v>2177</v>
      </c>
      <c r="B370" t="s">
        <v>2141</v>
      </c>
      <c r="C370">
        <v>1370.8</v>
      </c>
      <c r="D370" t="s">
        <v>2109</v>
      </c>
    </row>
    <row r="371" spans="1:4">
      <c r="A371" t="s">
        <v>2178</v>
      </c>
      <c r="B371" t="s">
        <v>2141</v>
      </c>
      <c r="C371">
        <v>2024.1</v>
      </c>
      <c r="D371" t="s">
        <v>2109</v>
      </c>
    </row>
    <row r="372" spans="1:4">
      <c r="A372" t="s">
        <v>2179</v>
      </c>
      <c r="B372" t="s">
        <v>2141</v>
      </c>
      <c r="C372">
        <v>3416.9</v>
      </c>
      <c r="D372" t="s">
        <v>2109</v>
      </c>
    </row>
    <row r="373" spans="1:4">
      <c r="A373" t="s">
        <v>2180</v>
      </c>
      <c r="B373" t="s">
        <v>2141</v>
      </c>
      <c r="C373">
        <v>15.3</v>
      </c>
      <c r="D373" t="s">
        <v>2109</v>
      </c>
    </row>
    <row r="374" spans="1:4">
      <c r="A374" t="s">
        <v>2181</v>
      </c>
      <c r="B374" t="s">
        <v>2141</v>
      </c>
      <c r="C374">
        <v>105.6</v>
      </c>
      <c r="D374" t="s">
        <v>2109</v>
      </c>
    </row>
    <row r="375" spans="1:4">
      <c r="A375" t="s">
        <v>2182</v>
      </c>
      <c r="B375" t="s">
        <v>2141</v>
      </c>
      <c r="C375">
        <v>42.2</v>
      </c>
      <c r="D375" t="s">
        <v>2109</v>
      </c>
    </row>
    <row r="376" spans="1:4">
      <c r="A376" t="s">
        <v>2183</v>
      </c>
      <c r="B376" t="s">
        <v>2141</v>
      </c>
      <c r="C376">
        <v>3075.6</v>
      </c>
      <c r="D376" t="s">
        <v>2109</v>
      </c>
    </row>
    <row r="377" spans="1:4">
      <c r="A377" t="s">
        <v>2184</v>
      </c>
      <c r="B377" t="s">
        <v>2141</v>
      </c>
      <c r="C377">
        <v>28.4</v>
      </c>
      <c r="D377" t="s">
        <v>2109</v>
      </c>
    </row>
    <row r="378" spans="1:4">
      <c r="A378" t="s">
        <v>2185</v>
      </c>
      <c r="B378" t="s">
        <v>2141</v>
      </c>
      <c r="C378">
        <v>1638.8</v>
      </c>
      <c r="D378" t="s">
        <v>2109</v>
      </c>
    </row>
    <row r="379" spans="1:4">
      <c r="A379" t="s">
        <v>2186</v>
      </c>
      <c r="B379" t="s">
        <v>2141</v>
      </c>
      <c r="C379">
        <v>2058.7999999999997</v>
      </c>
      <c r="D379" t="s">
        <v>2109</v>
      </c>
    </row>
    <row r="380" spans="1:4">
      <c r="A380" t="s">
        <v>2187</v>
      </c>
      <c r="B380" t="s">
        <v>2141</v>
      </c>
      <c r="C380">
        <v>1828.5</v>
      </c>
      <c r="D380" t="s">
        <v>2109</v>
      </c>
    </row>
    <row r="381" spans="1:4">
      <c r="A381" t="s">
        <v>2188</v>
      </c>
      <c r="B381" t="s">
        <v>2141</v>
      </c>
      <c r="C381">
        <v>89</v>
      </c>
      <c r="D381" t="s">
        <v>2109</v>
      </c>
    </row>
    <row r="382" spans="1:4">
      <c r="A382" t="s">
        <v>2189</v>
      </c>
      <c r="B382" t="s">
        <v>2141</v>
      </c>
      <c r="C382">
        <v>118</v>
      </c>
      <c r="D382" t="s">
        <v>2109</v>
      </c>
    </row>
    <row r="383" spans="1:4">
      <c r="A383" t="s">
        <v>2190</v>
      </c>
      <c r="B383" t="s">
        <v>2141</v>
      </c>
      <c r="C383">
        <v>7563.76</v>
      </c>
      <c r="D383" t="s">
        <v>2109</v>
      </c>
    </row>
    <row r="384" spans="1:4">
      <c r="A384" t="s">
        <v>2191</v>
      </c>
      <c r="B384" t="s">
        <v>2141</v>
      </c>
      <c r="C384">
        <v>13300</v>
      </c>
      <c r="D384" t="s">
        <v>2109</v>
      </c>
    </row>
    <row r="385" spans="1:4">
      <c r="A385" t="s">
        <v>2192</v>
      </c>
      <c r="B385" t="s">
        <v>2141</v>
      </c>
      <c r="C385">
        <v>3985</v>
      </c>
      <c r="D385" t="s">
        <v>2109</v>
      </c>
    </row>
    <row r="386" spans="1:4">
      <c r="A386" t="s">
        <v>2193</v>
      </c>
      <c r="B386" t="s">
        <v>2141</v>
      </c>
      <c r="C386">
        <v>3985</v>
      </c>
      <c r="D386" t="s">
        <v>2109</v>
      </c>
    </row>
    <row r="387" spans="1:4">
      <c r="A387" t="s">
        <v>2194</v>
      </c>
      <c r="B387" t="s">
        <v>2146</v>
      </c>
      <c r="C387">
        <v>4945</v>
      </c>
      <c r="D387" t="s">
        <v>2109</v>
      </c>
    </row>
    <row r="388" spans="1:4">
      <c r="A388" t="s">
        <v>2195</v>
      </c>
      <c r="B388" t="s">
        <v>2146</v>
      </c>
      <c r="C388">
        <v>4945</v>
      </c>
      <c r="D388" t="s">
        <v>2109</v>
      </c>
    </row>
    <row r="389" spans="1:4">
      <c r="A389" t="s">
        <v>2196</v>
      </c>
      <c r="B389" t="s">
        <v>2141</v>
      </c>
      <c r="C389">
        <v>196.1</v>
      </c>
      <c r="D389" t="s">
        <v>2109</v>
      </c>
    </row>
    <row r="390" spans="1:4">
      <c r="A390" t="s">
        <v>2197</v>
      </c>
      <c r="C390">
        <v>638</v>
      </c>
      <c r="D390" t="s">
        <v>2062</v>
      </c>
    </row>
    <row r="391" spans="1:4">
      <c r="A391" t="s">
        <v>2198</v>
      </c>
      <c r="B391" t="s">
        <v>2199</v>
      </c>
      <c r="C391">
        <v>17400</v>
      </c>
      <c r="D391" t="s">
        <v>2109</v>
      </c>
    </row>
    <row r="392" spans="1:4">
      <c r="A392" t="s">
        <v>2200</v>
      </c>
      <c r="B392" t="s">
        <v>2201</v>
      </c>
      <c r="C392">
        <v>23500</v>
      </c>
      <c r="D392" t="s">
        <v>2109</v>
      </c>
    </row>
  </sheetData>
  <sheetProtection insertColumns="0" insertRows="0" selectLockedCells="1" selectUnlockedCells="1"/>
  <mergeCells count="8">
    <mergeCell ref="A264:D264"/>
    <mergeCell ref="A283:D283"/>
    <mergeCell ref="A137:D137"/>
    <mergeCell ref="A2:D2"/>
    <mergeCell ref="A76:D76"/>
    <mergeCell ref="A130:D130"/>
    <mergeCell ref="A150:D150"/>
    <mergeCell ref="A211:D2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50A4B-E148-4010-AA1E-DD774A74641B}">
  <sheetPr codeName="Sheet16">
    <tabColor rgb="FF00B050"/>
    <pageSetUpPr autoPageBreaks="0"/>
  </sheetPr>
  <dimension ref="A1:CJ840"/>
  <sheetViews>
    <sheetView showGridLines="0" zoomScale="46" zoomScaleNormal="58" workbookViewId="0">
      <selection activeCell="H158" sqref="H158"/>
    </sheetView>
  </sheetViews>
  <sheetFormatPr defaultColWidth="8.54296875" defaultRowHeight="14.5"/>
  <cols>
    <col min="1" max="1" width="91.453125" style="27" customWidth="1"/>
    <col min="2" max="2" width="65.453125" customWidth="1"/>
    <col min="3" max="3" width="55.453125" customWidth="1"/>
    <col min="4" max="4" width="51.1796875" customWidth="1"/>
    <col min="5" max="5" width="72.453125" customWidth="1"/>
    <col min="6" max="6" width="29.453125" customWidth="1"/>
    <col min="7" max="7" width="27.453125" customWidth="1"/>
    <col min="8" max="8" width="28.453125" style="29" customWidth="1"/>
    <col min="9" max="9" width="47.1796875" style="29" customWidth="1"/>
    <col min="10" max="10" width="39.54296875" style="29" customWidth="1"/>
    <col min="11" max="11" width="24.453125" style="29" customWidth="1"/>
    <col min="12" max="12" width="21.54296875" style="29" customWidth="1"/>
    <col min="13" max="13" width="38" style="29" customWidth="1"/>
    <col min="14" max="14" width="41.81640625" style="29" customWidth="1"/>
    <col min="15" max="15" width="26.453125" style="29" customWidth="1"/>
    <col min="16" max="16" width="35.453125" style="29" customWidth="1"/>
    <col min="17" max="17" width="25.81640625" style="29" customWidth="1"/>
    <col min="18" max="18" width="56.453125" style="29" customWidth="1"/>
    <col min="19" max="19" width="35.453125" style="29" customWidth="1"/>
    <col min="20" max="20" width="32.1796875" style="29" customWidth="1"/>
    <col min="21" max="21" width="30.54296875" style="29" customWidth="1"/>
    <col min="22" max="22" width="33.453125" style="29" customWidth="1"/>
    <col min="23" max="23" width="33.54296875" customWidth="1"/>
    <col min="24" max="24" width="34" customWidth="1"/>
    <col min="25" max="25" width="34.453125" customWidth="1"/>
    <col min="26" max="26" width="38.1796875" customWidth="1"/>
    <col min="27" max="27" width="31.1796875" customWidth="1"/>
    <col min="28" max="28" width="35" customWidth="1"/>
    <col min="29" max="29" width="33.453125" customWidth="1"/>
    <col min="30" max="30" width="38" customWidth="1"/>
    <col min="31" max="31" width="7.54296875" customWidth="1"/>
    <col min="34" max="34" width="53.54296875" customWidth="1"/>
    <col min="35" max="35" width="34.453125" customWidth="1"/>
    <col min="36" max="36" width="29.81640625" customWidth="1"/>
    <col min="37" max="37" width="30.81640625" customWidth="1"/>
    <col min="38" max="38" width="30" customWidth="1"/>
    <col min="39" max="39" width="28" customWidth="1"/>
    <col min="40" max="40" width="32.453125" customWidth="1"/>
    <col min="41" max="41" width="32.1796875" customWidth="1"/>
    <col min="42" max="42" width="26.453125" customWidth="1"/>
    <col min="43" max="43" width="33" customWidth="1"/>
    <col min="44" max="44" width="33.453125" customWidth="1"/>
    <col min="45" max="45" width="30.453125" customWidth="1"/>
    <col min="46" max="46" width="28.453125" customWidth="1"/>
    <col min="47" max="88" width="8.54296875" style="29"/>
  </cols>
  <sheetData>
    <row r="1" spans="1:46" ht="15" thickBot="1">
      <c r="A1" s="29"/>
      <c r="W1" s="29"/>
      <c r="X1" s="29"/>
      <c r="Y1" s="29"/>
      <c r="Z1" s="29"/>
      <c r="AA1" s="29"/>
      <c r="AB1" s="29"/>
      <c r="AC1" s="29"/>
      <c r="AD1" s="29"/>
      <c r="AE1" s="29"/>
      <c r="AF1" s="29"/>
      <c r="AG1" s="29"/>
      <c r="AH1" s="29"/>
      <c r="AI1" s="29"/>
      <c r="AJ1" s="29"/>
      <c r="AK1" s="29"/>
      <c r="AL1" s="29"/>
      <c r="AM1" s="29"/>
      <c r="AN1" s="29"/>
      <c r="AO1" s="29"/>
      <c r="AP1" s="29"/>
      <c r="AQ1" s="29"/>
      <c r="AR1" s="29"/>
      <c r="AS1" s="29"/>
      <c r="AT1" s="29"/>
    </row>
    <row r="2" spans="1:46" ht="21">
      <c r="A2" s="29"/>
      <c r="B2" s="1261" t="s">
        <v>176</v>
      </c>
      <c r="C2" s="1262"/>
      <c r="D2" s="467"/>
      <c r="E2" s="467"/>
      <c r="F2" s="467"/>
      <c r="G2" s="29"/>
      <c r="W2" s="29"/>
      <c r="X2" s="29"/>
      <c r="Y2" s="29"/>
      <c r="Z2" s="29"/>
      <c r="AA2" s="29"/>
      <c r="AB2" s="29"/>
      <c r="AC2" s="29"/>
      <c r="AD2" s="29"/>
      <c r="AE2" s="29"/>
      <c r="AF2" s="29"/>
      <c r="AG2" s="29"/>
      <c r="AH2" s="29"/>
      <c r="AI2" s="29"/>
      <c r="AJ2" s="29"/>
      <c r="AK2" s="29"/>
      <c r="AL2" s="29"/>
      <c r="AM2" s="29"/>
      <c r="AN2" s="29"/>
      <c r="AO2" s="29"/>
      <c r="AP2" s="29"/>
      <c r="AQ2" s="29"/>
      <c r="AR2" s="29"/>
      <c r="AS2" s="29"/>
      <c r="AT2" s="29"/>
    </row>
    <row r="3" spans="1:46" ht="21">
      <c r="A3" s="29"/>
      <c r="B3" s="541" t="s">
        <v>177</v>
      </c>
      <c r="C3" s="542" t="s">
        <v>178</v>
      </c>
      <c r="D3" s="526"/>
      <c r="E3" s="526"/>
      <c r="F3" s="526"/>
      <c r="G3" s="29"/>
      <c r="W3" s="29"/>
      <c r="X3" s="29"/>
      <c r="Y3" s="29"/>
      <c r="Z3" s="29"/>
      <c r="AA3" s="29"/>
      <c r="AB3" s="29"/>
      <c r="AC3" s="29"/>
      <c r="AD3" s="29"/>
      <c r="AE3" s="29"/>
      <c r="AF3" s="29"/>
      <c r="AG3" s="29"/>
      <c r="AH3" s="29"/>
      <c r="AI3" s="29"/>
      <c r="AJ3" s="29"/>
      <c r="AK3" s="29"/>
      <c r="AL3" s="29"/>
      <c r="AM3" s="29"/>
      <c r="AN3" s="29"/>
      <c r="AO3" s="29"/>
      <c r="AP3" s="29"/>
      <c r="AQ3" s="29"/>
      <c r="AR3" s="29"/>
      <c r="AS3" s="29"/>
      <c r="AT3" s="29"/>
    </row>
    <row r="4" spans="1:46" ht="21">
      <c r="A4" s="29"/>
      <c r="B4" s="541" t="s">
        <v>179</v>
      </c>
      <c r="C4" s="542" t="s">
        <v>180</v>
      </c>
      <c r="D4" s="526"/>
      <c r="E4" s="526"/>
      <c r="F4" s="526"/>
      <c r="G4" s="29"/>
      <c r="W4" s="29"/>
      <c r="X4" s="29"/>
      <c r="Y4" s="29"/>
      <c r="Z4" s="29"/>
      <c r="AA4" s="29"/>
      <c r="AB4" s="29"/>
      <c r="AC4" s="29"/>
      <c r="AD4" s="29"/>
      <c r="AE4" s="29"/>
      <c r="AF4" s="29"/>
      <c r="AG4" s="29"/>
      <c r="AH4" s="29"/>
      <c r="AI4" s="29"/>
      <c r="AJ4" s="29"/>
      <c r="AK4" s="29"/>
      <c r="AL4" s="29"/>
      <c r="AM4" s="29"/>
      <c r="AN4" s="29"/>
      <c r="AO4" s="29"/>
      <c r="AP4" s="29"/>
      <c r="AQ4" s="29"/>
      <c r="AR4" s="29"/>
      <c r="AS4" s="29"/>
      <c r="AT4" s="29"/>
    </row>
    <row r="5" spans="1:46" ht="21">
      <c r="A5" s="29"/>
      <c r="B5" s="541" t="s">
        <v>181</v>
      </c>
      <c r="C5" s="542" t="s">
        <v>182</v>
      </c>
      <c r="D5" s="527"/>
      <c r="E5" s="527"/>
      <c r="F5" s="527"/>
      <c r="G5" s="29"/>
      <c r="W5" s="29"/>
      <c r="X5" s="29"/>
      <c r="Y5" s="29"/>
      <c r="Z5" s="29"/>
      <c r="AA5" s="29"/>
      <c r="AB5" s="29"/>
      <c r="AC5" s="29"/>
      <c r="AD5" s="29"/>
      <c r="AE5" s="29"/>
      <c r="AF5" s="29"/>
      <c r="AG5" s="29"/>
      <c r="AH5" s="29"/>
      <c r="AI5" s="29"/>
      <c r="AJ5" s="29"/>
      <c r="AK5" s="29"/>
      <c r="AL5" s="29"/>
      <c r="AM5" s="29"/>
      <c r="AN5" s="29"/>
      <c r="AO5" s="29"/>
      <c r="AP5" s="29"/>
      <c r="AQ5" s="29"/>
      <c r="AR5" s="29"/>
      <c r="AS5" s="29"/>
      <c r="AT5" s="29"/>
    </row>
    <row r="6" spans="1:46" ht="21.5" thickBot="1">
      <c r="A6" s="29"/>
      <c r="B6" s="1263" t="s">
        <v>183</v>
      </c>
      <c r="C6" s="1264"/>
      <c r="D6" s="526"/>
      <c r="E6" s="526"/>
      <c r="F6" s="526"/>
      <c r="G6" s="29"/>
      <c r="W6" s="29"/>
      <c r="X6" s="29"/>
      <c r="Y6" s="29"/>
      <c r="Z6" s="29"/>
      <c r="AA6" s="29"/>
      <c r="AB6" s="29"/>
      <c r="AC6" s="29"/>
      <c r="AD6" s="29"/>
      <c r="AE6" s="29"/>
      <c r="AF6" s="29"/>
      <c r="AG6" s="29"/>
      <c r="AH6" s="29"/>
      <c r="AI6" s="29"/>
      <c r="AJ6" s="29"/>
      <c r="AK6" s="29"/>
      <c r="AL6" s="29"/>
      <c r="AM6" s="29"/>
      <c r="AN6" s="29"/>
      <c r="AO6" s="29"/>
      <c r="AP6" s="29"/>
      <c r="AQ6" s="29"/>
      <c r="AR6" s="29"/>
      <c r="AS6" s="29"/>
      <c r="AT6" s="29"/>
    </row>
    <row r="7" spans="1:46">
      <c r="A7" s="29"/>
      <c r="B7" s="29"/>
      <c r="C7" s="29"/>
      <c r="E7" s="29"/>
      <c r="F7" s="29"/>
      <c r="G7" s="29"/>
      <c r="W7" s="29"/>
      <c r="X7" s="29"/>
      <c r="Y7" s="29"/>
      <c r="Z7" s="29"/>
      <c r="AA7" s="29"/>
      <c r="AB7" s="29"/>
      <c r="AC7" s="29"/>
      <c r="AD7" s="29"/>
      <c r="AE7" s="29"/>
      <c r="AF7" s="29"/>
      <c r="AG7" s="29"/>
      <c r="AH7" s="29"/>
      <c r="AI7" s="29"/>
      <c r="AJ7" s="29"/>
      <c r="AK7" s="29"/>
      <c r="AL7" s="29"/>
      <c r="AM7" s="29"/>
      <c r="AN7" s="29"/>
      <c r="AO7" s="29"/>
      <c r="AP7" s="29"/>
      <c r="AQ7" s="29"/>
      <c r="AR7" s="29"/>
      <c r="AS7" s="29"/>
      <c r="AT7" s="29"/>
    </row>
    <row r="8" spans="1:46" ht="15" thickBot="1">
      <c r="A8" s="29"/>
      <c r="B8" s="29"/>
      <c r="C8" s="29"/>
      <c r="D8" s="29"/>
      <c r="E8" s="29"/>
      <c r="F8" s="29"/>
      <c r="G8" s="29"/>
      <c r="W8" s="29"/>
      <c r="X8" s="29"/>
      <c r="Y8" s="29"/>
      <c r="Z8" s="29"/>
      <c r="AA8" s="29"/>
      <c r="AB8" s="29"/>
      <c r="AC8" s="29"/>
      <c r="AD8" s="29"/>
      <c r="AE8" s="29"/>
      <c r="AF8" s="29"/>
      <c r="AG8" s="29"/>
      <c r="AH8" s="29"/>
      <c r="AI8" s="29"/>
      <c r="AJ8" s="29"/>
      <c r="AK8" s="29"/>
      <c r="AL8" s="29"/>
      <c r="AM8" s="29"/>
      <c r="AN8" s="29"/>
      <c r="AO8" s="29"/>
      <c r="AP8" s="29"/>
      <c r="AQ8" s="29"/>
      <c r="AR8" s="29"/>
      <c r="AS8" s="29"/>
      <c r="AT8" s="29"/>
    </row>
    <row r="9" spans="1:46" ht="21.5" thickBot="1">
      <c r="A9" s="1009" t="s">
        <v>0</v>
      </c>
      <c r="B9" s="1249" t="s">
        <v>184</v>
      </c>
      <c r="C9" s="1250"/>
      <c r="D9" s="1250"/>
      <c r="E9" s="29"/>
      <c r="F9" s="1039"/>
      <c r="G9" s="1039"/>
      <c r="W9" s="29"/>
      <c r="X9" s="29"/>
      <c r="Y9" s="29"/>
      <c r="Z9" s="29"/>
      <c r="AA9" s="29"/>
      <c r="AB9" s="29"/>
      <c r="AC9" s="29"/>
      <c r="AD9" s="29"/>
      <c r="AE9" s="29"/>
      <c r="AF9" s="29"/>
      <c r="AG9" s="29"/>
      <c r="AH9" s="29"/>
      <c r="AI9" s="29"/>
      <c r="AJ9" s="29"/>
      <c r="AK9" s="29"/>
      <c r="AL9" s="29"/>
      <c r="AM9" s="29"/>
      <c r="AN9" s="29"/>
      <c r="AO9" s="29"/>
      <c r="AP9" s="29"/>
      <c r="AQ9" s="29"/>
      <c r="AR9" s="29"/>
      <c r="AS9" s="29"/>
      <c r="AT9" s="29"/>
    </row>
    <row r="10" spans="1:46" ht="31.4" customHeight="1" thickBot="1">
      <c r="A10" s="1279" t="s">
        <v>2520</v>
      </c>
      <c r="B10" s="837"/>
      <c r="C10" s="837"/>
      <c r="D10" s="837"/>
      <c r="E10" s="1038"/>
      <c r="F10" s="1038"/>
      <c r="G10" s="1038"/>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row>
    <row r="11" spans="1:46" ht="24" thickBot="1">
      <c r="A11" s="1280"/>
      <c r="B11" s="1256" t="s">
        <v>2574</v>
      </c>
      <c r="C11" s="1256"/>
      <c r="D11" s="1260"/>
      <c r="E11" s="536"/>
      <c r="F11" s="29"/>
      <c r="G11" s="29"/>
      <c r="R11" s="1256" t="s">
        <v>2575</v>
      </c>
      <c r="S11" s="1256"/>
      <c r="T11" s="1260"/>
      <c r="W11" s="29"/>
      <c r="X11" s="29"/>
      <c r="Y11" s="29"/>
      <c r="Z11" s="29"/>
      <c r="AA11" s="29"/>
      <c r="AB11" s="29"/>
      <c r="AC11" s="29"/>
      <c r="AD11" s="29"/>
      <c r="AE11" s="29"/>
      <c r="AF11" s="29"/>
      <c r="AG11" s="29"/>
      <c r="AH11" s="1256" t="s">
        <v>2576</v>
      </c>
      <c r="AI11" s="1256"/>
      <c r="AJ11" s="1260"/>
      <c r="AK11" s="29"/>
      <c r="AL11" s="29"/>
      <c r="AM11" s="29"/>
      <c r="AN11" s="29"/>
      <c r="AO11" s="29"/>
      <c r="AP11" s="29"/>
      <c r="AQ11" s="29"/>
      <c r="AR11" s="29"/>
      <c r="AS11" s="29"/>
      <c r="AT11" s="29"/>
    </row>
    <row r="12" spans="1:46" ht="27.65" customHeight="1" thickBot="1">
      <c r="A12" s="1280"/>
      <c r="E12" s="536"/>
      <c r="F12" s="29"/>
      <c r="G12" s="611"/>
      <c r="H12" s="611"/>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row>
    <row r="13" spans="1:46" ht="23.15" customHeight="1" thickBot="1">
      <c r="A13" s="1281"/>
      <c r="B13" s="1031" t="s">
        <v>186</v>
      </c>
      <c r="C13" s="828" t="s">
        <v>187</v>
      </c>
      <c r="D13" s="828" t="s">
        <v>188</v>
      </c>
      <c r="E13" s="828" t="s">
        <v>189</v>
      </c>
      <c r="F13" s="828" t="s">
        <v>190</v>
      </c>
      <c r="G13" s="828" t="s">
        <v>191</v>
      </c>
      <c r="H13" s="828" t="s">
        <v>192</v>
      </c>
      <c r="I13" s="828" t="s">
        <v>193</v>
      </c>
      <c r="J13" s="828" t="s">
        <v>194</v>
      </c>
      <c r="K13" s="828" t="s">
        <v>195</v>
      </c>
      <c r="L13" s="828" t="s">
        <v>196</v>
      </c>
      <c r="M13" s="828" t="s">
        <v>197</v>
      </c>
      <c r="N13" s="829" t="s">
        <v>198</v>
      </c>
      <c r="R13" s="827" t="s">
        <v>186</v>
      </c>
      <c r="S13" s="828" t="s">
        <v>187</v>
      </c>
      <c r="T13" s="828" t="s">
        <v>188</v>
      </c>
      <c r="U13" s="828" t="s">
        <v>189</v>
      </c>
      <c r="V13" s="828" t="s">
        <v>190</v>
      </c>
      <c r="W13" s="828" t="s">
        <v>191</v>
      </c>
      <c r="X13" s="828" t="s">
        <v>192</v>
      </c>
      <c r="Y13" s="828" t="s">
        <v>193</v>
      </c>
      <c r="Z13" s="828" t="s">
        <v>194</v>
      </c>
      <c r="AA13" s="828" t="s">
        <v>195</v>
      </c>
      <c r="AB13" s="828" t="s">
        <v>196</v>
      </c>
      <c r="AC13" s="828" t="s">
        <v>197</v>
      </c>
      <c r="AD13" s="829" t="s">
        <v>198</v>
      </c>
      <c r="AE13" s="29"/>
      <c r="AF13" s="29"/>
      <c r="AG13" s="29"/>
      <c r="AH13" s="827" t="s">
        <v>186</v>
      </c>
      <c r="AI13" s="828" t="s">
        <v>187</v>
      </c>
      <c r="AJ13" s="828" t="s">
        <v>188</v>
      </c>
      <c r="AK13" s="828" t="s">
        <v>189</v>
      </c>
      <c r="AL13" s="828" t="s">
        <v>190</v>
      </c>
      <c r="AM13" s="828" t="s">
        <v>191</v>
      </c>
      <c r="AN13" s="828" t="s">
        <v>192</v>
      </c>
      <c r="AO13" s="828" t="s">
        <v>193</v>
      </c>
      <c r="AP13" s="828" t="s">
        <v>194</v>
      </c>
      <c r="AQ13" s="828" t="s">
        <v>195</v>
      </c>
      <c r="AR13" s="828" t="s">
        <v>196</v>
      </c>
      <c r="AS13" s="828" t="s">
        <v>197</v>
      </c>
      <c r="AT13" s="829" t="s">
        <v>198</v>
      </c>
    </row>
    <row r="14" spans="1:46" ht="44" thickBot="1">
      <c r="A14" s="1028" t="s">
        <v>2521</v>
      </c>
      <c r="B14" s="1023" t="s">
        <v>199</v>
      </c>
      <c r="C14" s="556"/>
      <c r="D14" s="556"/>
      <c r="E14" s="556"/>
      <c r="F14" s="556"/>
      <c r="G14" s="556"/>
      <c r="H14" s="556"/>
      <c r="I14" s="556"/>
      <c r="J14" s="556"/>
      <c r="K14" s="556"/>
      <c r="L14" s="556"/>
      <c r="M14" s="556"/>
      <c r="N14" s="556"/>
      <c r="R14" s="403" t="s">
        <v>199</v>
      </c>
      <c r="S14" s="556"/>
      <c r="T14" s="556"/>
      <c r="U14" s="556"/>
      <c r="V14" s="556"/>
      <c r="W14" s="556"/>
      <c r="X14" s="556"/>
      <c r="Y14" s="556"/>
      <c r="Z14" s="556"/>
      <c r="AA14" s="556"/>
      <c r="AB14" s="556"/>
      <c r="AC14" s="556"/>
      <c r="AD14" s="556"/>
      <c r="AE14" s="29"/>
      <c r="AF14" s="29"/>
      <c r="AG14" s="29"/>
      <c r="AH14" s="403" t="s">
        <v>199</v>
      </c>
      <c r="AI14" s="556"/>
      <c r="AJ14" s="556"/>
      <c r="AK14" s="556"/>
      <c r="AL14" s="556"/>
      <c r="AM14" s="556"/>
      <c r="AN14" s="556"/>
      <c r="AO14" s="556"/>
      <c r="AP14" s="556"/>
      <c r="AQ14" s="556"/>
      <c r="AR14" s="556"/>
      <c r="AS14" s="556"/>
      <c r="AT14" s="556"/>
    </row>
    <row r="15" spans="1:46" ht="15" thickBot="1">
      <c r="A15" s="1026" t="s">
        <v>200</v>
      </c>
      <c r="B15" s="1025" t="s">
        <v>201</v>
      </c>
      <c r="C15" s="175"/>
      <c r="D15" s="175"/>
      <c r="E15" s="175"/>
      <c r="F15" s="175"/>
      <c r="G15" s="175"/>
      <c r="H15" s="175"/>
      <c r="I15" s="175"/>
      <c r="J15" s="175"/>
      <c r="K15" s="175"/>
      <c r="L15" s="175"/>
      <c r="M15" s="175"/>
      <c r="N15" s="175"/>
      <c r="R15" s="826" t="s">
        <v>201</v>
      </c>
      <c r="S15" s="175"/>
      <c r="T15" s="175"/>
      <c r="U15" s="175"/>
      <c r="V15" s="175"/>
      <c r="W15" s="175"/>
      <c r="X15" s="175"/>
      <c r="Y15" s="175"/>
      <c r="Z15" s="175"/>
      <c r="AA15" s="175"/>
      <c r="AB15" s="175"/>
      <c r="AC15" s="175"/>
      <c r="AD15" s="175"/>
      <c r="AE15" s="29"/>
      <c r="AF15" s="29"/>
      <c r="AG15" s="29"/>
      <c r="AH15" s="826" t="s">
        <v>201</v>
      </c>
      <c r="AI15" s="175"/>
      <c r="AJ15" s="175"/>
      <c r="AK15" s="175"/>
      <c r="AL15" s="175"/>
      <c r="AM15" s="175"/>
      <c r="AN15" s="175"/>
      <c r="AO15" s="175"/>
      <c r="AP15" s="175"/>
      <c r="AQ15" s="175"/>
      <c r="AR15" s="175"/>
      <c r="AS15" s="175"/>
      <c r="AT15" s="175"/>
    </row>
    <row r="16" spans="1:46" ht="15" thickBot="1">
      <c r="A16" s="1024" t="s">
        <v>203</v>
      </c>
      <c r="B16" s="1025" t="s">
        <v>204</v>
      </c>
      <c r="C16" s="175"/>
      <c r="D16" s="175"/>
      <c r="E16" s="175"/>
      <c r="F16" s="175"/>
      <c r="G16" s="175"/>
      <c r="H16" s="175"/>
      <c r="I16" s="175"/>
      <c r="J16" s="175"/>
      <c r="K16" s="175"/>
      <c r="L16" s="175"/>
      <c r="M16" s="175"/>
      <c r="N16" s="175"/>
      <c r="R16" s="826" t="s">
        <v>204</v>
      </c>
      <c r="S16" s="872"/>
      <c r="T16" s="872"/>
      <c r="U16" s="872"/>
      <c r="V16" s="872"/>
      <c r="W16" s="872"/>
      <c r="X16" s="872"/>
      <c r="Y16" s="872"/>
      <c r="Z16" s="872"/>
      <c r="AA16" s="872"/>
      <c r="AB16" s="872"/>
      <c r="AC16" s="872"/>
      <c r="AD16" s="872"/>
      <c r="AE16" s="29"/>
      <c r="AF16" s="29"/>
      <c r="AG16" s="29"/>
      <c r="AH16" s="826" t="s">
        <v>204</v>
      </c>
      <c r="AI16" s="872"/>
      <c r="AJ16" s="872"/>
      <c r="AK16" s="872"/>
      <c r="AL16" s="872"/>
      <c r="AM16" s="872"/>
      <c r="AN16" s="872"/>
      <c r="AO16" s="872"/>
      <c r="AP16" s="872"/>
      <c r="AQ16" s="872"/>
      <c r="AR16" s="872"/>
      <c r="AS16" s="872"/>
      <c r="AT16" s="872"/>
    </row>
    <row r="17" spans="1:46" ht="15" thickBot="1">
      <c r="A17" s="1027" t="s">
        <v>206</v>
      </c>
      <c r="B17" s="1025" t="s">
        <v>207</v>
      </c>
      <c r="C17" s="175"/>
      <c r="D17" s="175"/>
      <c r="E17" s="175"/>
      <c r="F17" s="175"/>
      <c r="G17" s="175"/>
      <c r="H17" s="175"/>
      <c r="I17" s="175"/>
      <c r="J17" s="175"/>
      <c r="K17" s="175"/>
      <c r="L17" s="175"/>
      <c r="M17" s="175"/>
      <c r="N17" s="175"/>
      <c r="R17" s="826" t="s">
        <v>207</v>
      </c>
      <c r="S17" s="872"/>
      <c r="T17" s="872"/>
      <c r="U17" s="872"/>
      <c r="V17" s="872"/>
      <c r="W17" s="872"/>
      <c r="X17" s="872"/>
      <c r="Y17" s="872"/>
      <c r="Z17" s="872"/>
      <c r="AA17" s="872"/>
      <c r="AB17" s="872"/>
      <c r="AC17" s="872"/>
      <c r="AD17" s="872"/>
      <c r="AE17" s="29"/>
      <c r="AF17" s="29"/>
      <c r="AG17" s="29"/>
      <c r="AH17" s="826" t="s">
        <v>207</v>
      </c>
      <c r="AI17" s="872"/>
      <c r="AJ17" s="872"/>
      <c r="AK17" s="872"/>
      <c r="AL17" s="872"/>
      <c r="AM17" s="872"/>
      <c r="AN17" s="872"/>
      <c r="AO17" s="872"/>
      <c r="AP17" s="872"/>
      <c r="AQ17" s="872"/>
      <c r="AR17" s="872"/>
      <c r="AS17" s="872"/>
      <c r="AT17" s="872"/>
    </row>
    <row r="18" spans="1:46" ht="29.5" thickBot="1">
      <c r="A18" s="1028" t="s">
        <v>2506</v>
      </c>
      <c r="B18" s="1025" t="s">
        <v>209</v>
      </c>
      <c r="C18" s="175"/>
      <c r="D18" s="175"/>
      <c r="E18" s="175"/>
      <c r="F18" s="175"/>
      <c r="G18" s="175"/>
      <c r="H18" s="175"/>
      <c r="I18" s="175"/>
      <c r="J18" s="814"/>
      <c r="K18" s="175"/>
      <c r="L18" s="175"/>
      <c r="M18" s="175"/>
      <c r="N18" s="175"/>
      <c r="R18" s="826" t="s">
        <v>209</v>
      </c>
      <c r="S18" s="175"/>
      <c r="T18" s="175"/>
      <c r="U18" s="175"/>
      <c r="V18" s="175"/>
      <c r="W18" s="175"/>
      <c r="X18" s="175"/>
      <c r="Y18" s="175"/>
      <c r="Z18" s="814"/>
      <c r="AA18" s="175"/>
      <c r="AB18" s="175"/>
      <c r="AC18" s="175"/>
      <c r="AD18" s="175"/>
      <c r="AE18" s="29"/>
      <c r="AF18" s="29"/>
      <c r="AG18" s="29"/>
      <c r="AH18" s="826" t="s">
        <v>209</v>
      </c>
      <c r="AI18" s="175"/>
      <c r="AJ18" s="175"/>
      <c r="AK18" s="175"/>
      <c r="AL18" s="175"/>
      <c r="AM18" s="175"/>
      <c r="AN18" s="175"/>
      <c r="AO18" s="175"/>
      <c r="AP18" s="814"/>
      <c r="AQ18" s="175"/>
      <c r="AR18" s="175"/>
      <c r="AS18" s="175"/>
      <c r="AT18" s="175"/>
    </row>
    <row r="19" spans="1:46" ht="29.5" thickBot="1">
      <c r="A19" s="1028" t="s">
        <v>2564</v>
      </c>
      <c r="B19" s="1025" t="s">
        <v>210</v>
      </c>
      <c r="C19" s="175"/>
      <c r="D19" s="175"/>
      <c r="E19" s="175"/>
      <c r="F19" s="175"/>
      <c r="G19" s="175"/>
      <c r="H19" s="175"/>
      <c r="I19" s="175"/>
      <c r="J19" s="814"/>
      <c r="K19" s="814"/>
      <c r="L19" s="814"/>
      <c r="M19" s="814"/>
      <c r="N19" s="814"/>
      <c r="R19" s="826" t="s">
        <v>210</v>
      </c>
      <c r="S19" s="175"/>
      <c r="T19" s="175"/>
      <c r="U19" s="175"/>
      <c r="V19" s="175"/>
      <c r="W19" s="175"/>
      <c r="X19" s="175"/>
      <c r="Y19" s="175"/>
      <c r="Z19" s="814"/>
      <c r="AA19" s="814"/>
      <c r="AB19" s="814"/>
      <c r="AC19" s="814"/>
      <c r="AD19" s="814"/>
      <c r="AE19" s="29"/>
      <c r="AF19" s="29"/>
      <c r="AG19" s="29"/>
      <c r="AH19" s="826" t="s">
        <v>210</v>
      </c>
      <c r="AI19" s="175"/>
      <c r="AJ19" s="175"/>
      <c r="AK19" s="175"/>
      <c r="AL19" s="175"/>
      <c r="AM19" s="175"/>
      <c r="AN19" s="175"/>
      <c r="AO19" s="175"/>
      <c r="AP19" s="814"/>
      <c r="AQ19" s="814"/>
      <c r="AR19" s="814"/>
      <c r="AS19" s="814"/>
      <c r="AT19" s="814"/>
    </row>
    <row r="20" spans="1:46" ht="92.15" customHeight="1" thickBot="1">
      <c r="A20" s="1022" t="s">
        <v>2504</v>
      </c>
      <c r="B20" s="1025" t="s">
        <v>2503</v>
      </c>
      <c r="C20" s="175"/>
      <c r="D20" s="175"/>
      <c r="E20" s="175"/>
      <c r="F20" s="175"/>
      <c r="G20" s="175"/>
      <c r="H20" s="175"/>
      <c r="I20" s="175"/>
      <c r="J20" s="175"/>
      <c r="K20" s="175"/>
      <c r="L20" s="175"/>
      <c r="M20" s="175"/>
      <c r="N20" s="175"/>
      <c r="R20" s="826" t="s">
        <v>211</v>
      </c>
      <c r="S20" s="175"/>
      <c r="T20" s="175"/>
      <c r="U20" s="175"/>
      <c r="V20" s="175"/>
      <c r="W20" s="175"/>
      <c r="X20" s="175"/>
      <c r="Y20" s="175"/>
      <c r="Z20" s="175"/>
      <c r="AA20" s="175"/>
      <c r="AB20" s="175"/>
      <c r="AC20" s="175"/>
      <c r="AD20" s="175"/>
      <c r="AE20" s="29"/>
      <c r="AF20" s="29"/>
      <c r="AG20" s="29"/>
      <c r="AH20" s="826" t="s">
        <v>211</v>
      </c>
      <c r="AI20" s="175"/>
      <c r="AJ20" s="175"/>
      <c r="AK20" s="175"/>
      <c r="AL20" s="175"/>
      <c r="AM20" s="175"/>
      <c r="AN20" s="175"/>
      <c r="AO20" s="175"/>
      <c r="AP20" s="175"/>
      <c r="AQ20" s="175"/>
      <c r="AR20" s="175"/>
      <c r="AS20" s="175"/>
      <c r="AT20" s="175"/>
    </row>
    <row r="21" spans="1:46" ht="58.5" thickBot="1">
      <c r="A21" s="1024" t="s">
        <v>212</v>
      </c>
      <c r="B21" s="1025" t="s">
        <v>213</v>
      </c>
      <c r="C21" s="175"/>
      <c r="D21" s="175"/>
      <c r="E21" s="175"/>
      <c r="F21" s="175"/>
      <c r="G21" s="175"/>
      <c r="H21" s="175"/>
      <c r="I21" s="175"/>
      <c r="J21" s="175"/>
      <c r="K21" s="175"/>
      <c r="L21" s="175"/>
      <c r="M21" s="175"/>
      <c r="N21" s="175"/>
      <c r="R21" s="826" t="s">
        <v>214</v>
      </c>
      <c r="S21" s="175"/>
      <c r="T21" s="175"/>
      <c r="U21" s="175"/>
      <c r="V21" s="175"/>
      <c r="W21" s="175"/>
      <c r="X21" s="175"/>
      <c r="Y21" s="175"/>
      <c r="Z21" s="175"/>
      <c r="AA21" s="175"/>
      <c r="AB21" s="175"/>
      <c r="AC21" s="175"/>
      <c r="AD21" s="175"/>
      <c r="AE21" s="29"/>
      <c r="AF21" s="29"/>
      <c r="AG21" s="29"/>
      <c r="AH21" s="826" t="s">
        <v>214</v>
      </c>
      <c r="AI21" s="175"/>
      <c r="AJ21" s="175"/>
      <c r="AK21" s="175"/>
      <c r="AL21" s="175"/>
      <c r="AM21" s="175"/>
      <c r="AN21" s="175"/>
      <c r="AO21" s="175"/>
      <c r="AP21" s="175"/>
      <c r="AQ21" s="175"/>
      <c r="AR21" s="175"/>
      <c r="AS21" s="175"/>
      <c r="AT21" s="175"/>
    </row>
    <row r="22" spans="1:46">
      <c r="A22" s="1277" t="s">
        <v>215</v>
      </c>
      <c r="B22" s="1025" t="s">
        <v>216</v>
      </c>
      <c r="C22" s="175"/>
      <c r="D22" s="175"/>
      <c r="E22" s="175"/>
      <c r="F22" s="175"/>
      <c r="G22" s="175"/>
      <c r="H22" s="175"/>
      <c r="I22" s="175"/>
      <c r="J22" s="175"/>
      <c r="K22" s="175"/>
      <c r="L22" s="175"/>
      <c r="M22" s="175"/>
      <c r="N22" s="175"/>
      <c r="R22" s="826" t="s">
        <v>216</v>
      </c>
      <c r="S22" s="175"/>
      <c r="T22" s="175"/>
      <c r="U22" s="175"/>
      <c r="V22" s="175"/>
      <c r="W22" s="175"/>
      <c r="X22" s="175"/>
      <c r="Y22" s="175"/>
      <c r="Z22" s="175"/>
      <c r="AA22" s="175"/>
      <c r="AB22" s="175"/>
      <c r="AC22" s="175"/>
      <c r="AD22" s="175"/>
      <c r="AE22" s="29"/>
      <c r="AF22" s="29"/>
      <c r="AG22" s="29"/>
      <c r="AH22" s="826" t="s">
        <v>216</v>
      </c>
      <c r="AI22" s="175"/>
      <c r="AJ22" s="175"/>
      <c r="AK22" s="175"/>
      <c r="AL22" s="175"/>
      <c r="AM22" s="175"/>
      <c r="AN22" s="175"/>
      <c r="AO22" s="175"/>
      <c r="AP22" s="175"/>
      <c r="AQ22" s="175"/>
      <c r="AR22" s="175"/>
      <c r="AS22" s="175"/>
      <c r="AT22" s="175"/>
    </row>
    <row r="23" spans="1:46" ht="15" thickBot="1">
      <c r="A23" s="1278"/>
      <c r="B23" s="1025" t="s">
        <v>217</v>
      </c>
      <c r="C23" s="175"/>
      <c r="D23" s="175"/>
      <c r="E23" s="175"/>
      <c r="F23" s="175"/>
      <c r="G23" s="175"/>
      <c r="H23" s="175"/>
      <c r="I23" s="175"/>
      <c r="J23" s="175"/>
      <c r="K23" s="175"/>
      <c r="L23" s="175"/>
      <c r="M23" s="175"/>
      <c r="N23" s="175"/>
      <c r="R23" s="826" t="s">
        <v>217</v>
      </c>
      <c r="S23" s="175"/>
      <c r="T23" s="175"/>
      <c r="U23" s="175"/>
      <c r="V23" s="175"/>
      <c r="W23" s="175"/>
      <c r="X23" s="175"/>
      <c r="Y23" s="175"/>
      <c r="Z23" s="175"/>
      <c r="AA23" s="175"/>
      <c r="AB23" s="175"/>
      <c r="AC23" s="175"/>
      <c r="AD23" s="175"/>
      <c r="AE23" s="29"/>
      <c r="AF23" s="29"/>
      <c r="AG23" s="29"/>
      <c r="AH23" s="826" t="s">
        <v>217</v>
      </c>
      <c r="AI23" s="175"/>
      <c r="AJ23" s="175"/>
      <c r="AK23" s="175"/>
      <c r="AL23" s="175"/>
      <c r="AM23" s="175"/>
      <c r="AN23" s="175"/>
      <c r="AO23" s="175"/>
      <c r="AP23" s="175"/>
      <c r="AQ23" s="175"/>
      <c r="AR23" s="175"/>
      <c r="AS23" s="175"/>
      <c r="AT23" s="175"/>
    </row>
    <row r="24" spans="1:46" ht="15" thickBot="1">
      <c r="A24" s="1027" t="s">
        <v>218</v>
      </c>
      <c r="B24" s="1025" t="s">
        <v>219</v>
      </c>
      <c r="C24" s="175"/>
      <c r="D24" s="175"/>
      <c r="E24" s="175"/>
      <c r="F24" s="175"/>
      <c r="G24" s="175"/>
      <c r="H24" s="175"/>
      <c r="I24" s="1157"/>
      <c r="J24" s="814"/>
      <c r="K24" s="814"/>
      <c r="L24" s="814"/>
      <c r="M24" s="814"/>
      <c r="N24" s="814"/>
      <c r="R24" s="826" t="s">
        <v>220</v>
      </c>
      <c r="S24" s="175"/>
      <c r="T24" s="175"/>
      <c r="U24" s="175"/>
      <c r="V24" s="175"/>
      <c r="W24" s="175"/>
      <c r="X24" s="175"/>
      <c r="Y24" s="175"/>
      <c r="Z24" s="814"/>
      <c r="AA24" s="814"/>
      <c r="AB24" s="814"/>
      <c r="AC24" s="814"/>
      <c r="AD24" s="814"/>
      <c r="AE24" s="29"/>
      <c r="AF24" s="29"/>
      <c r="AG24" s="29"/>
      <c r="AH24" s="826" t="s">
        <v>220</v>
      </c>
      <c r="AI24" s="175"/>
      <c r="AJ24" s="175"/>
      <c r="AK24" s="175"/>
      <c r="AL24" s="175"/>
      <c r="AM24" s="175"/>
      <c r="AN24" s="175"/>
      <c r="AO24" s="175"/>
      <c r="AP24" s="814"/>
      <c r="AQ24" s="814"/>
      <c r="AR24" s="814"/>
      <c r="AS24" s="814"/>
      <c r="AT24" s="814"/>
    </row>
    <row r="25" spans="1:46" ht="16" thickBot="1">
      <c r="A25" s="1026" t="s">
        <v>2581</v>
      </c>
      <c r="B25" s="1025" t="s">
        <v>221</v>
      </c>
      <c r="C25" s="1164">
        <f>$D$29/6.38/100*1000</f>
        <v>0</v>
      </c>
      <c r="D25" s="1164">
        <f t="shared" ref="D25:H25" si="0">$D$29/6.38/100*1000</f>
        <v>0</v>
      </c>
      <c r="E25" s="1164">
        <f t="shared" si="0"/>
        <v>0</v>
      </c>
      <c r="F25" s="1164">
        <f t="shared" si="0"/>
        <v>0</v>
      </c>
      <c r="G25" s="1164">
        <f t="shared" si="0"/>
        <v>0</v>
      </c>
      <c r="H25" s="1164">
        <f t="shared" si="0"/>
        <v>0</v>
      </c>
      <c r="I25" s="1157"/>
      <c r="J25" s="814"/>
      <c r="K25" s="814"/>
      <c r="L25" s="814"/>
      <c r="M25" s="814"/>
      <c r="N25" s="814"/>
      <c r="R25" s="1025" t="s">
        <v>221</v>
      </c>
      <c r="S25" s="1164">
        <f>$T$29/6.38/100*1000</f>
        <v>0</v>
      </c>
      <c r="T25" s="1164">
        <f t="shared" ref="T25:X25" si="1">$T$29/6.38/100*1000</f>
        <v>0</v>
      </c>
      <c r="U25" s="1164">
        <f t="shared" si="1"/>
        <v>0</v>
      </c>
      <c r="V25" s="1164">
        <f t="shared" si="1"/>
        <v>0</v>
      </c>
      <c r="W25" s="1164">
        <f t="shared" si="1"/>
        <v>0</v>
      </c>
      <c r="X25" s="1164">
        <f t="shared" si="1"/>
        <v>0</v>
      </c>
      <c r="Y25" s="1164">
        <f>$T$29/6.38/100*1000</f>
        <v>0</v>
      </c>
      <c r="Z25" s="814"/>
      <c r="AA25" s="814"/>
      <c r="AB25" s="814"/>
      <c r="AC25" s="814"/>
      <c r="AD25" s="814"/>
      <c r="AE25" s="29"/>
      <c r="AF25" s="29"/>
      <c r="AG25" s="29"/>
      <c r="AH25" s="1025" t="s">
        <v>221</v>
      </c>
      <c r="AI25" s="1164">
        <f>$AJ$29/6.38/100*1000</f>
        <v>0</v>
      </c>
      <c r="AJ25" s="1164">
        <f t="shared" ref="AJ25:AO25" si="2">$AJ$29/6.38/100*1000</f>
        <v>0</v>
      </c>
      <c r="AK25" s="1164">
        <f t="shared" si="2"/>
        <v>0</v>
      </c>
      <c r="AL25" s="1164">
        <f t="shared" si="2"/>
        <v>0</v>
      </c>
      <c r="AM25" s="1164">
        <f t="shared" si="2"/>
        <v>0</v>
      </c>
      <c r="AN25" s="1164">
        <f t="shared" si="2"/>
        <v>0</v>
      </c>
      <c r="AO25" s="1164">
        <f t="shared" si="2"/>
        <v>0</v>
      </c>
      <c r="AP25" s="814"/>
      <c r="AQ25" s="814"/>
      <c r="AR25" s="814"/>
      <c r="AS25" s="814"/>
      <c r="AT25" s="814"/>
    </row>
    <row r="26" spans="1:46" ht="19" thickBot="1">
      <c r="B26" s="285"/>
      <c r="C26" s="285"/>
      <c r="D26" s="285"/>
      <c r="E26" s="536"/>
      <c r="F26" s="29"/>
      <c r="G26" s="825"/>
      <c r="R26" s="285"/>
      <c r="S26" s="285"/>
      <c r="T26" s="285"/>
      <c r="U26" s="536"/>
      <c r="W26" s="825"/>
      <c r="X26" s="29"/>
      <c r="Y26" s="29"/>
      <c r="Z26" s="29"/>
      <c r="AA26" s="29"/>
      <c r="AB26" s="29"/>
      <c r="AC26" s="29"/>
      <c r="AD26" s="29"/>
      <c r="AE26" s="29"/>
      <c r="AF26" s="29"/>
      <c r="AG26" s="29"/>
      <c r="AH26" s="285"/>
      <c r="AI26" s="285"/>
      <c r="AJ26" s="285"/>
      <c r="AK26" s="536"/>
      <c r="AL26" s="29"/>
      <c r="AM26" s="825"/>
      <c r="AN26" s="29"/>
      <c r="AO26" s="29"/>
      <c r="AP26" s="29"/>
      <c r="AQ26" s="29"/>
      <c r="AR26" s="29"/>
      <c r="AS26" s="29"/>
      <c r="AT26" s="29"/>
    </row>
    <row r="27" spans="1:46" ht="19" thickBot="1">
      <c r="B27" s="692" t="s">
        <v>222</v>
      </c>
      <c r="C27" s="695" t="s">
        <v>19</v>
      </c>
      <c r="D27" s="696" t="s">
        <v>20</v>
      </c>
      <c r="E27" s="29"/>
      <c r="F27" s="29"/>
      <c r="G27" s="29"/>
      <c r="R27" s="692" t="s">
        <v>222</v>
      </c>
      <c r="S27" s="695" t="s">
        <v>19</v>
      </c>
      <c r="T27" s="696" t="s">
        <v>20</v>
      </c>
      <c r="W27" s="29"/>
      <c r="X27" s="29"/>
      <c r="Y27" s="29"/>
      <c r="Z27" s="29"/>
      <c r="AA27" s="29"/>
      <c r="AB27" s="29"/>
      <c r="AC27" s="29"/>
      <c r="AD27" s="29"/>
      <c r="AE27" s="29"/>
      <c r="AF27" s="29"/>
      <c r="AG27" s="29"/>
      <c r="AH27" s="692" t="s">
        <v>222</v>
      </c>
      <c r="AI27" s="695" t="s">
        <v>19</v>
      </c>
      <c r="AJ27" s="696" t="s">
        <v>20</v>
      </c>
      <c r="AK27" s="29"/>
      <c r="AL27" s="29"/>
      <c r="AM27" s="29"/>
      <c r="AN27" s="29"/>
      <c r="AO27" s="29"/>
      <c r="AP27" s="29"/>
      <c r="AQ27" s="29"/>
      <c r="AR27" s="29"/>
      <c r="AS27" s="29"/>
      <c r="AT27" s="29"/>
    </row>
    <row r="28" spans="1:46" ht="20.149999999999999" customHeight="1" thickBot="1">
      <c r="A28" s="1021" t="s">
        <v>223</v>
      </c>
      <c r="B28" s="331" t="s">
        <v>224</v>
      </c>
      <c r="C28" s="326" t="s">
        <v>34</v>
      </c>
      <c r="D28" s="423"/>
      <c r="E28" s="29"/>
      <c r="F28" s="29"/>
      <c r="G28" s="29"/>
      <c r="R28" s="331" t="s">
        <v>224</v>
      </c>
      <c r="S28" s="326" t="s">
        <v>34</v>
      </c>
      <c r="T28" s="423"/>
      <c r="W28" s="29"/>
      <c r="X28" s="29"/>
      <c r="Y28" s="29"/>
      <c r="Z28" s="29"/>
      <c r="AA28" s="29"/>
      <c r="AB28" s="29"/>
      <c r="AC28" s="29"/>
      <c r="AD28" s="29"/>
      <c r="AE28" s="29"/>
      <c r="AF28" s="29"/>
      <c r="AG28" s="29"/>
      <c r="AH28" s="331" t="s">
        <v>224</v>
      </c>
      <c r="AI28" s="326" t="s">
        <v>34</v>
      </c>
      <c r="AJ28" s="423"/>
      <c r="AK28" s="29"/>
      <c r="AL28" s="29"/>
      <c r="AM28" s="29"/>
      <c r="AN28" s="29"/>
      <c r="AO28" s="29"/>
      <c r="AP28" s="29"/>
      <c r="AQ28" s="29"/>
      <c r="AR28" s="29"/>
      <c r="AS28" s="29"/>
      <c r="AT28" s="29"/>
    </row>
    <row r="29" spans="1:46" ht="22.4" customHeight="1" thickBot="1">
      <c r="A29" s="1021" t="s">
        <v>225</v>
      </c>
      <c r="B29" s="331" t="s">
        <v>226</v>
      </c>
      <c r="C29" s="326" t="s">
        <v>34</v>
      </c>
      <c r="D29" s="423"/>
      <c r="E29" s="29"/>
      <c r="F29" s="29"/>
      <c r="G29" s="29"/>
      <c r="R29" s="331" t="s">
        <v>226</v>
      </c>
      <c r="S29" s="326" t="s">
        <v>34</v>
      </c>
      <c r="T29" s="423"/>
      <c r="W29" s="29"/>
      <c r="X29" s="29"/>
      <c r="Y29" s="29"/>
      <c r="Z29" s="29"/>
      <c r="AA29" s="29"/>
      <c r="AB29" s="29"/>
      <c r="AC29" s="29"/>
      <c r="AD29" s="29"/>
      <c r="AE29" s="29"/>
      <c r="AF29" s="29"/>
      <c r="AG29" s="29"/>
      <c r="AH29" s="331" t="s">
        <v>226</v>
      </c>
      <c r="AI29" s="326" t="s">
        <v>34</v>
      </c>
      <c r="AJ29" s="423"/>
      <c r="AK29" s="29"/>
      <c r="AL29" s="29"/>
      <c r="AM29" s="29"/>
      <c r="AN29" s="29"/>
      <c r="AO29" s="29"/>
      <c r="AP29" s="29"/>
      <c r="AQ29" s="29"/>
      <c r="AR29" s="29"/>
      <c r="AS29" s="29"/>
      <c r="AT29" s="29"/>
    </row>
    <row r="30" spans="1:46" ht="39.65" customHeight="1" thickBot="1">
      <c r="A30" s="1028" t="s">
        <v>227</v>
      </c>
      <c r="B30" s="874" t="s">
        <v>228</v>
      </c>
      <c r="C30" s="326" t="s">
        <v>135</v>
      </c>
      <c r="D30" s="423"/>
      <c r="E30" s="29"/>
      <c r="F30" s="468"/>
      <c r="G30" s="468"/>
      <c r="R30" s="874" t="s">
        <v>228</v>
      </c>
      <c r="S30" s="326" t="s">
        <v>135</v>
      </c>
      <c r="T30" s="423"/>
      <c r="W30" s="29"/>
      <c r="X30" s="29"/>
      <c r="Y30" s="29"/>
      <c r="Z30" s="29"/>
      <c r="AA30" s="29"/>
      <c r="AB30" s="29"/>
      <c r="AC30" s="29"/>
      <c r="AD30" s="29"/>
      <c r="AE30" s="29"/>
      <c r="AF30" s="29"/>
      <c r="AG30" s="29"/>
      <c r="AH30" s="874" t="s">
        <v>228</v>
      </c>
      <c r="AI30" s="326" t="s">
        <v>135</v>
      </c>
      <c r="AJ30" s="423"/>
      <c r="AK30" s="29"/>
      <c r="AL30" s="29"/>
      <c r="AM30" s="29"/>
      <c r="AN30" s="29"/>
      <c r="AO30" s="29"/>
      <c r="AP30" s="29"/>
      <c r="AQ30" s="29"/>
      <c r="AR30" s="29"/>
      <c r="AS30" s="29"/>
      <c r="AT30" s="29"/>
    </row>
    <row r="31" spans="1:46" ht="113.15" customHeight="1" thickBot="1">
      <c r="A31" s="390" t="s">
        <v>2522</v>
      </c>
      <c r="B31" s="331" t="s">
        <v>229</v>
      </c>
      <c r="C31" s="326" t="s">
        <v>135</v>
      </c>
      <c r="D31" s="423"/>
      <c r="E31" s="29"/>
      <c r="F31" s="29"/>
      <c r="G31" s="29"/>
      <c r="R31" s="331" t="s">
        <v>229</v>
      </c>
      <c r="S31" s="326" t="s">
        <v>135</v>
      </c>
      <c r="T31" s="423"/>
      <c r="W31" s="29"/>
      <c r="X31" s="29"/>
      <c r="Y31" s="29"/>
      <c r="Z31" s="29"/>
      <c r="AA31" s="29"/>
      <c r="AB31" s="29"/>
      <c r="AC31" s="29"/>
      <c r="AD31" s="29"/>
      <c r="AE31" s="29"/>
      <c r="AF31" s="29"/>
      <c r="AG31" s="29"/>
      <c r="AH31" s="331" t="s">
        <v>229</v>
      </c>
      <c r="AI31" s="326" t="s">
        <v>135</v>
      </c>
      <c r="AJ31" s="423"/>
      <c r="AK31" s="29"/>
      <c r="AL31" s="29"/>
      <c r="AM31" s="29"/>
      <c r="AN31" s="29"/>
      <c r="AO31" s="29"/>
      <c r="AP31" s="29"/>
      <c r="AQ31" s="29"/>
      <c r="AR31" s="29"/>
      <c r="AS31" s="29"/>
      <c r="AT31" s="29"/>
    </row>
    <row r="32" spans="1:46" ht="38.15" customHeight="1">
      <c r="A32" s="1279" t="s">
        <v>230</v>
      </c>
      <c r="B32" s="331" t="s">
        <v>231</v>
      </c>
      <c r="C32" s="676"/>
      <c r="D32" s="424"/>
      <c r="E32" s="29"/>
      <c r="F32" s="535"/>
      <c r="G32" s="535"/>
      <c r="R32" s="331" t="s">
        <v>231</v>
      </c>
      <c r="S32" s="676"/>
      <c r="T32" s="424"/>
      <c r="U32" s="535"/>
      <c r="V32" s="535"/>
      <c r="W32" s="535"/>
      <c r="X32" s="29"/>
      <c r="Y32" s="29"/>
      <c r="Z32" s="29"/>
      <c r="AA32" s="29"/>
      <c r="AB32" s="29"/>
      <c r="AC32" s="29"/>
      <c r="AD32" s="29"/>
      <c r="AE32" s="29"/>
      <c r="AF32" s="29"/>
      <c r="AG32" s="29"/>
      <c r="AH32" s="331" t="s">
        <v>231</v>
      </c>
      <c r="AI32" s="676"/>
      <c r="AJ32" s="424"/>
      <c r="AK32" s="535"/>
      <c r="AL32" s="535"/>
      <c r="AM32" s="535"/>
      <c r="AN32" s="29"/>
      <c r="AO32" s="29"/>
      <c r="AP32" s="29"/>
      <c r="AQ32" s="29"/>
      <c r="AR32" s="29"/>
      <c r="AS32" s="29"/>
      <c r="AT32" s="29"/>
    </row>
    <row r="33" spans="1:46" ht="15.5">
      <c r="A33" s="1280"/>
      <c r="B33" s="331" t="s">
        <v>232</v>
      </c>
      <c r="C33" s="676"/>
      <c r="D33" s="424"/>
      <c r="E33" s="29"/>
      <c r="F33" s="535"/>
      <c r="G33" s="535"/>
      <c r="R33" s="331" t="s">
        <v>232</v>
      </c>
      <c r="S33" s="676"/>
      <c r="T33" s="424"/>
      <c r="U33" s="535"/>
      <c r="V33" s="535"/>
      <c r="W33" s="535"/>
      <c r="X33" s="29"/>
      <c r="Y33" s="29"/>
      <c r="Z33" s="29"/>
      <c r="AA33" s="29"/>
      <c r="AB33" s="29"/>
      <c r="AC33" s="29"/>
      <c r="AD33" s="29"/>
      <c r="AE33" s="29"/>
      <c r="AF33" s="29"/>
      <c r="AG33" s="29"/>
      <c r="AH33" s="331" t="s">
        <v>232</v>
      </c>
      <c r="AI33" s="676"/>
      <c r="AJ33" s="424"/>
      <c r="AK33" s="535"/>
      <c r="AL33" s="535"/>
      <c r="AM33" s="535"/>
      <c r="AN33" s="29"/>
      <c r="AO33" s="29"/>
      <c r="AP33" s="29"/>
      <c r="AQ33" s="29"/>
      <c r="AR33" s="29"/>
      <c r="AS33" s="29"/>
      <c r="AT33" s="29"/>
    </row>
    <row r="34" spans="1:46" ht="16" thickBot="1">
      <c r="A34" s="1281"/>
      <c r="B34" s="331" t="s">
        <v>233</v>
      </c>
      <c r="C34" s="676"/>
      <c r="D34" s="424"/>
      <c r="E34" s="29"/>
      <c r="F34" s="535"/>
      <c r="G34" s="535"/>
      <c r="R34" s="331" t="s">
        <v>233</v>
      </c>
      <c r="S34" s="676"/>
      <c r="T34" s="424"/>
      <c r="U34" s="535"/>
      <c r="V34" s="535"/>
      <c r="W34" s="535"/>
      <c r="X34" s="29"/>
      <c r="Y34" s="29"/>
      <c r="Z34" s="29"/>
      <c r="AA34" s="29"/>
      <c r="AB34" s="29"/>
      <c r="AC34" s="29"/>
      <c r="AD34" s="29"/>
      <c r="AE34" s="29"/>
      <c r="AF34" s="29"/>
      <c r="AG34" s="29"/>
      <c r="AH34" s="331" t="s">
        <v>233</v>
      </c>
      <c r="AI34" s="676"/>
      <c r="AJ34" s="424"/>
      <c r="AK34" s="535"/>
      <c r="AL34" s="535"/>
      <c r="AM34" s="535"/>
      <c r="AN34" s="29"/>
      <c r="AO34" s="29"/>
      <c r="AP34" s="29"/>
      <c r="AQ34" s="29"/>
      <c r="AR34" s="29"/>
      <c r="AS34" s="29"/>
      <c r="AT34" s="29"/>
    </row>
    <row r="35" spans="1:46" ht="23.5" customHeight="1">
      <c r="A35" s="1279" t="s">
        <v>2523</v>
      </c>
      <c r="B35" s="331" t="s">
        <v>234</v>
      </c>
      <c r="C35" s="676"/>
      <c r="D35" s="424"/>
      <c r="E35" s="29"/>
      <c r="F35" s="535"/>
      <c r="G35" s="535"/>
      <c r="R35" s="331" t="s">
        <v>234</v>
      </c>
      <c r="S35" s="676"/>
      <c r="T35" s="424"/>
      <c r="U35" s="535"/>
      <c r="V35" s="535"/>
      <c r="W35" s="535"/>
      <c r="X35" s="29"/>
      <c r="Y35" s="29"/>
      <c r="Z35" s="29"/>
      <c r="AA35" s="29"/>
      <c r="AB35" s="29"/>
      <c r="AC35" s="29"/>
      <c r="AD35" s="29"/>
      <c r="AE35" s="29"/>
      <c r="AF35" s="29"/>
      <c r="AG35" s="29"/>
      <c r="AH35" s="331" t="s">
        <v>234</v>
      </c>
      <c r="AI35" s="676"/>
      <c r="AJ35" s="424"/>
      <c r="AK35" s="535"/>
      <c r="AL35" s="535"/>
      <c r="AM35" s="535"/>
      <c r="AN35" s="29"/>
      <c r="AO35" s="29"/>
      <c r="AP35" s="29"/>
      <c r="AQ35" s="29"/>
      <c r="AR35" s="29"/>
      <c r="AS35" s="29"/>
      <c r="AT35" s="29"/>
    </row>
    <row r="36" spans="1:46" ht="29.15" customHeight="1" thickBot="1">
      <c r="A36" s="1281"/>
      <c r="B36" s="331" t="s">
        <v>235</v>
      </c>
      <c r="C36" s="676"/>
      <c r="D36" s="424"/>
      <c r="E36" s="29"/>
      <c r="F36" s="535"/>
      <c r="G36" s="535"/>
      <c r="R36" s="331" t="s">
        <v>235</v>
      </c>
      <c r="S36" s="676"/>
      <c r="T36" s="424"/>
      <c r="U36" s="535"/>
      <c r="V36" s="535"/>
      <c r="W36" s="535"/>
      <c r="X36" s="29"/>
      <c r="Y36" s="29"/>
      <c r="Z36" s="29"/>
      <c r="AA36" s="29"/>
      <c r="AB36" s="29"/>
      <c r="AC36" s="29"/>
      <c r="AD36" s="29"/>
      <c r="AE36" s="29"/>
      <c r="AF36" s="29"/>
      <c r="AG36" s="29"/>
      <c r="AH36" s="331" t="s">
        <v>235</v>
      </c>
      <c r="AI36" s="676"/>
      <c r="AJ36" s="424"/>
      <c r="AK36" s="535"/>
      <c r="AL36" s="535"/>
      <c r="AM36" s="535"/>
      <c r="AN36" s="29"/>
      <c r="AO36" s="29"/>
      <c r="AP36" s="29"/>
      <c r="AQ36" s="29"/>
      <c r="AR36" s="29"/>
      <c r="AS36" s="29"/>
      <c r="AT36" s="29"/>
    </row>
    <row r="37" spans="1:46" ht="32.5" customHeight="1" thickBot="1">
      <c r="A37" s="931" t="s">
        <v>236</v>
      </c>
      <c r="B37" s="331" t="s">
        <v>237</v>
      </c>
      <c r="C37" s="326" t="s">
        <v>238</v>
      </c>
      <c r="D37" s="424"/>
      <c r="E37" s="29"/>
      <c r="F37" s="535"/>
      <c r="G37" s="535"/>
      <c r="R37" s="331" t="s">
        <v>237</v>
      </c>
      <c r="S37" s="326" t="s">
        <v>238</v>
      </c>
      <c r="T37" s="424"/>
      <c r="U37" s="535"/>
      <c r="V37" s="535"/>
      <c r="W37" s="535"/>
      <c r="X37" s="29"/>
      <c r="Y37" s="29"/>
      <c r="Z37" s="29"/>
      <c r="AA37" s="29"/>
      <c r="AB37" s="29"/>
      <c r="AC37" s="29"/>
      <c r="AD37" s="29"/>
      <c r="AE37" s="29"/>
      <c r="AF37" s="29"/>
      <c r="AG37" s="29"/>
      <c r="AH37" s="331" t="s">
        <v>237</v>
      </c>
      <c r="AI37" s="326" t="s">
        <v>238</v>
      </c>
      <c r="AJ37" s="424"/>
      <c r="AK37" s="535"/>
      <c r="AL37" s="535"/>
      <c r="AM37" s="535"/>
      <c r="AN37" s="29"/>
      <c r="AO37" s="29"/>
      <c r="AP37" s="29"/>
      <c r="AQ37" s="29"/>
      <c r="AR37" s="29"/>
      <c r="AS37" s="29"/>
      <c r="AT37" s="29"/>
    </row>
    <row r="38" spans="1:46" ht="32.15" customHeight="1">
      <c r="A38" s="1279" t="s">
        <v>239</v>
      </c>
      <c r="B38" s="331" t="s">
        <v>240</v>
      </c>
      <c r="C38" s="676"/>
      <c r="D38" s="424"/>
      <c r="E38" s="29"/>
      <c r="F38" s="535"/>
      <c r="G38" s="535"/>
      <c r="R38" s="331" t="s">
        <v>240</v>
      </c>
      <c r="S38" s="676"/>
      <c r="T38" s="424"/>
      <c r="U38" s="535"/>
      <c r="V38" s="535"/>
      <c r="W38" s="535"/>
      <c r="X38" s="29"/>
      <c r="Y38" s="29"/>
      <c r="Z38" s="29"/>
      <c r="AA38" s="29"/>
      <c r="AB38" s="29"/>
      <c r="AC38" s="29"/>
      <c r="AD38" s="29"/>
      <c r="AE38" s="29"/>
      <c r="AF38" s="29"/>
      <c r="AG38" s="29"/>
      <c r="AH38" s="331" t="s">
        <v>240</v>
      </c>
      <c r="AI38" s="676"/>
      <c r="AJ38" s="424"/>
      <c r="AK38" s="535"/>
      <c r="AL38" s="535"/>
      <c r="AM38" s="535"/>
      <c r="AN38" s="29"/>
      <c r="AO38" s="29"/>
      <c r="AP38" s="29"/>
      <c r="AQ38" s="29"/>
      <c r="AR38" s="29"/>
      <c r="AS38" s="29"/>
      <c r="AT38" s="29"/>
    </row>
    <row r="39" spans="1:46" ht="15.5">
      <c r="A39" s="1280"/>
      <c r="B39" s="331" t="s">
        <v>243</v>
      </c>
      <c r="C39" s="676"/>
      <c r="D39" s="424"/>
      <c r="E39" s="29"/>
      <c r="F39" s="535"/>
      <c r="G39" s="535"/>
      <c r="R39" s="331" t="s">
        <v>243</v>
      </c>
      <c r="S39" s="676"/>
      <c r="T39" s="424"/>
      <c r="U39" s="535"/>
      <c r="V39" s="535"/>
      <c r="W39" s="535"/>
      <c r="X39" s="29"/>
      <c r="Y39" s="29"/>
      <c r="Z39" s="29"/>
      <c r="AA39" s="29"/>
      <c r="AB39" s="29"/>
      <c r="AC39" s="29"/>
      <c r="AD39" s="29"/>
      <c r="AE39" s="29"/>
      <c r="AF39" s="29"/>
      <c r="AG39" s="29"/>
      <c r="AH39" s="331" t="s">
        <v>243</v>
      </c>
      <c r="AI39" s="676"/>
      <c r="AJ39" s="424"/>
      <c r="AK39" s="535"/>
      <c r="AL39" s="535"/>
      <c r="AM39" s="535"/>
      <c r="AN39" s="29"/>
      <c r="AO39" s="29"/>
      <c r="AP39" s="29"/>
      <c r="AQ39" s="29"/>
      <c r="AR39" s="29"/>
      <c r="AS39" s="29"/>
      <c r="AT39" s="29"/>
    </row>
    <row r="40" spans="1:46" ht="16" thickBot="1">
      <c r="A40" s="1281"/>
      <c r="B40" s="1051" t="s">
        <v>244</v>
      </c>
      <c r="C40" s="755"/>
      <c r="D40" s="1052"/>
      <c r="E40" s="29"/>
      <c r="F40" s="535"/>
      <c r="G40" s="535"/>
      <c r="R40" s="331" t="s">
        <v>244</v>
      </c>
      <c r="S40" s="676"/>
      <c r="T40" s="424"/>
      <c r="U40" s="535"/>
      <c r="V40" s="535"/>
      <c r="W40" s="535"/>
      <c r="X40" s="29"/>
      <c r="Y40" s="29"/>
      <c r="Z40" s="29"/>
      <c r="AA40" s="29"/>
      <c r="AB40" s="29"/>
      <c r="AC40" s="29"/>
      <c r="AD40" s="29"/>
      <c r="AE40" s="29"/>
      <c r="AF40" s="29"/>
      <c r="AG40" s="29"/>
      <c r="AH40" s="331" t="s">
        <v>244</v>
      </c>
      <c r="AI40" s="676"/>
      <c r="AJ40" s="424"/>
      <c r="AK40" s="535"/>
      <c r="AL40" s="535"/>
      <c r="AM40" s="535"/>
      <c r="AN40" s="29"/>
      <c r="AO40" s="29"/>
      <c r="AP40" s="29"/>
      <c r="AQ40" s="29"/>
      <c r="AR40" s="29"/>
      <c r="AS40" s="29"/>
      <c r="AT40" s="29"/>
    </row>
    <row r="41" spans="1:46" ht="15.5" thickBot="1">
      <c r="A41" s="391"/>
      <c r="B41" s="427" t="s">
        <v>245</v>
      </c>
      <c r="C41" s="340" t="s">
        <v>246</v>
      </c>
      <c r="D41" s="428" t="s">
        <v>104</v>
      </c>
      <c r="E41" s="29"/>
      <c r="F41" s="535"/>
      <c r="G41" s="535"/>
      <c r="R41" s="427" t="s">
        <v>245</v>
      </c>
      <c r="S41" s="340" t="s">
        <v>246</v>
      </c>
      <c r="T41" s="428" t="s">
        <v>104</v>
      </c>
      <c r="U41" s="535"/>
      <c r="V41" s="535"/>
      <c r="W41" s="535"/>
      <c r="X41" s="29"/>
      <c r="Y41" s="29"/>
      <c r="Z41" s="29"/>
      <c r="AA41" s="29"/>
      <c r="AB41" s="29"/>
      <c r="AC41" s="29"/>
      <c r="AD41" s="29"/>
      <c r="AE41" s="29"/>
      <c r="AF41" s="29"/>
      <c r="AG41" s="29"/>
      <c r="AH41" s="427" t="s">
        <v>245</v>
      </c>
      <c r="AI41" s="340" t="s">
        <v>246</v>
      </c>
      <c r="AJ41" s="428" t="s">
        <v>104</v>
      </c>
      <c r="AK41" s="535"/>
      <c r="AL41" s="535"/>
      <c r="AM41" s="535"/>
      <c r="AN41" s="29"/>
      <c r="AO41" s="29"/>
      <c r="AP41" s="29"/>
      <c r="AQ41" s="29"/>
      <c r="AR41" s="29"/>
      <c r="AS41" s="29"/>
      <c r="AT41" s="29"/>
    </row>
    <row r="42" spans="1:46" ht="14.5" customHeight="1">
      <c r="A42" s="1279" t="s">
        <v>2524</v>
      </c>
      <c r="B42" s="720"/>
      <c r="C42" s="681"/>
      <c r="D42" s="453"/>
      <c r="E42" s="29"/>
      <c r="F42" s="535"/>
      <c r="G42" s="535"/>
      <c r="R42" s="720"/>
      <c r="S42" s="681"/>
      <c r="T42" s="324"/>
      <c r="U42" s="535"/>
      <c r="V42" s="535"/>
      <c r="W42" s="535"/>
      <c r="X42" s="29"/>
      <c r="Y42" s="29"/>
      <c r="Z42" s="29"/>
      <c r="AA42" s="29"/>
      <c r="AB42" s="29"/>
      <c r="AC42" s="29"/>
      <c r="AD42" s="29"/>
      <c r="AE42" s="29"/>
      <c r="AF42" s="29"/>
      <c r="AG42" s="29"/>
      <c r="AH42" s="720"/>
      <c r="AI42" s="681"/>
      <c r="AJ42" s="453"/>
      <c r="AK42" s="535"/>
      <c r="AL42" s="535"/>
      <c r="AM42" s="535"/>
      <c r="AN42" s="29"/>
      <c r="AO42" s="29"/>
      <c r="AP42" s="29"/>
      <c r="AQ42" s="29"/>
      <c r="AR42" s="29"/>
      <c r="AS42" s="29"/>
      <c r="AT42" s="29"/>
    </row>
    <row r="43" spans="1:46">
      <c r="A43" s="1280"/>
      <c r="B43" s="720"/>
      <c r="C43" s="676"/>
      <c r="D43" s="324"/>
      <c r="E43" s="29"/>
      <c r="F43" s="535"/>
      <c r="G43" s="535"/>
      <c r="R43" s="720"/>
      <c r="S43" s="676"/>
      <c r="T43" s="324"/>
      <c r="U43" s="535"/>
      <c r="V43" s="535"/>
      <c r="W43" s="535"/>
      <c r="X43" s="29"/>
      <c r="Y43" s="29"/>
      <c r="Z43" s="29"/>
      <c r="AA43" s="29"/>
      <c r="AB43" s="29"/>
      <c r="AC43" s="29"/>
      <c r="AD43" s="29"/>
      <c r="AE43" s="29"/>
      <c r="AF43" s="29"/>
      <c r="AG43" s="29"/>
      <c r="AH43" s="720"/>
      <c r="AI43" s="676"/>
      <c r="AJ43" s="453"/>
      <c r="AK43" s="535"/>
      <c r="AL43" s="535"/>
      <c r="AM43" s="535"/>
      <c r="AN43" s="29"/>
      <c r="AO43" s="29"/>
      <c r="AP43" s="29"/>
      <c r="AQ43" s="29"/>
      <c r="AR43" s="29"/>
      <c r="AS43" s="29"/>
      <c r="AT43" s="29"/>
    </row>
    <row r="44" spans="1:46">
      <c r="A44" s="1280"/>
      <c r="B44" s="720"/>
      <c r="C44" s="676"/>
      <c r="D44" s="324"/>
      <c r="E44" s="29"/>
      <c r="F44" s="535"/>
      <c r="G44" s="535"/>
      <c r="R44" s="720"/>
      <c r="S44" s="676"/>
      <c r="T44" s="324"/>
      <c r="U44" s="535"/>
      <c r="V44" s="535"/>
      <c r="W44" s="535"/>
      <c r="X44" s="29"/>
      <c r="Y44" s="29"/>
      <c r="Z44" s="29"/>
      <c r="AA44" s="29"/>
      <c r="AB44" s="29"/>
      <c r="AC44" s="29"/>
      <c r="AD44" s="29"/>
      <c r="AE44" s="29"/>
      <c r="AF44" s="29"/>
      <c r="AG44" s="29"/>
      <c r="AH44" s="720"/>
      <c r="AI44" s="676"/>
      <c r="AJ44" s="453"/>
      <c r="AK44" s="535"/>
      <c r="AL44" s="535"/>
      <c r="AM44" s="535"/>
      <c r="AN44" s="29"/>
      <c r="AO44" s="29"/>
      <c r="AP44" s="29"/>
      <c r="AQ44" s="29"/>
      <c r="AR44" s="29"/>
      <c r="AS44" s="29"/>
      <c r="AT44" s="29"/>
    </row>
    <row r="45" spans="1:46">
      <c r="A45" s="1280"/>
      <c r="B45" s="720"/>
      <c r="C45" s="676"/>
      <c r="D45" s="324"/>
      <c r="E45" s="29"/>
      <c r="F45" s="535"/>
      <c r="G45" s="535"/>
      <c r="R45" s="720"/>
      <c r="S45" s="676"/>
      <c r="T45" s="324"/>
      <c r="U45" s="535"/>
      <c r="V45" s="535"/>
      <c r="W45" s="535"/>
      <c r="X45" s="29"/>
      <c r="Y45" s="29"/>
      <c r="Z45" s="29"/>
      <c r="AA45" s="29"/>
      <c r="AB45" s="29"/>
      <c r="AC45" s="29"/>
      <c r="AD45" s="29"/>
      <c r="AE45" s="29"/>
      <c r="AF45" s="29"/>
      <c r="AG45" s="29"/>
      <c r="AH45" s="720"/>
      <c r="AI45" s="676"/>
      <c r="AJ45" s="453"/>
      <c r="AK45" s="535"/>
      <c r="AL45" s="535"/>
      <c r="AM45" s="535"/>
      <c r="AN45" s="29"/>
      <c r="AO45" s="29"/>
      <c r="AP45" s="29"/>
      <c r="AQ45" s="29"/>
      <c r="AR45" s="29"/>
      <c r="AS45" s="29"/>
      <c r="AT45" s="29"/>
    </row>
    <row r="46" spans="1:46">
      <c r="A46" s="1280"/>
      <c r="B46" s="720"/>
      <c r="C46" s="676"/>
      <c r="D46" s="324"/>
      <c r="E46" s="29"/>
      <c r="F46" s="535"/>
      <c r="G46" s="535"/>
      <c r="R46" s="720"/>
      <c r="S46" s="676"/>
      <c r="T46" s="324"/>
      <c r="U46" s="535"/>
      <c r="V46" s="535"/>
      <c r="W46" s="535"/>
      <c r="X46" s="29"/>
      <c r="Y46" s="29"/>
      <c r="Z46" s="29"/>
      <c r="AA46" s="29"/>
      <c r="AB46" s="29"/>
      <c r="AC46" s="29"/>
      <c r="AD46" s="29"/>
      <c r="AE46" s="29"/>
      <c r="AF46" s="29"/>
      <c r="AG46" s="29"/>
      <c r="AH46" s="720"/>
      <c r="AI46" s="676"/>
      <c r="AJ46" s="453"/>
      <c r="AK46" s="535"/>
      <c r="AL46" s="535"/>
      <c r="AM46" s="535"/>
      <c r="AN46" s="29"/>
      <c r="AO46" s="29"/>
      <c r="AP46" s="29"/>
      <c r="AQ46" s="29"/>
      <c r="AR46" s="29"/>
      <c r="AS46" s="29"/>
      <c r="AT46" s="29"/>
    </row>
    <row r="47" spans="1:46">
      <c r="A47" s="1280"/>
      <c r="B47" s="720"/>
      <c r="C47" s="676"/>
      <c r="D47" s="324"/>
      <c r="E47" s="29"/>
      <c r="F47" s="535"/>
      <c r="G47" s="535"/>
      <c r="R47" s="720"/>
      <c r="S47" s="676"/>
      <c r="T47" s="324"/>
      <c r="U47" s="535"/>
      <c r="V47" s="535"/>
      <c r="W47" s="535"/>
      <c r="X47" s="29"/>
      <c r="Y47" s="29"/>
      <c r="Z47" s="29"/>
      <c r="AA47" s="29"/>
      <c r="AB47" s="29"/>
      <c r="AC47" s="29"/>
      <c r="AD47" s="29"/>
      <c r="AE47" s="29"/>
      <c r="AF47" s="29"/>
      <c r="AG47" s="29"/>
      <c r="AH47" s="720"/>
      <c r="AI47" s="676"/>
      <c r="AJ47" s="453"/>
      <c r="AK47" s="535"/>
      <c r="AL47" s="535"/>
      <c r="AM47" s="535"/>
      <c r="AN47" s="29"/>
      <c r="AO47" s="29"/>
      <c r="AP47" s="29"/>
      <c r="AQ47" s="29"/>
      <c r="AR47" s="29"/>
      <c r="AS47" s="29"/>
      <c r="AT47" s="29"/>
    </row>
    <row r="48" spans="1:46">
      <c r="A48" s="1280"/>
      <c r="B48" s="720"/>
      <c r="C48" s="676"/>
      <c r="D48" s="324"/>
      <c r="E48" s="29"/>
      <c r="F48" s="535"/>
      <c r="G48" s="535"/>
      <c r="R48" s="720"/>
      <c r="S48" s="676"/>
      <c r="T48" s="324"/>
      <c r="U48" s="535"/>
      <c r="V48" s="535"/>
      <c r="W48" s="535"/>
      <c r="X48" s="29"/>
      <c r="Y48" s="29"/>
      <c r="Z48" s="29"/>
      <c r="AA48" s="29"/>
      <c r="AB48" s="29"/>
      <c r="AC48" s="29"/>
      <c r="AD48" s="29"/>
      <c r="AE48" s="29"/>
      <c r="AF48" s="29"/>
      <c r="AG48" s="29"/>
      <c r="AH48" s="720"/>
      <c r="AI48" s="676"/>
      <c r="AJ48" s="453"/>
      <c r="AK48" s="535"/>
      <c r="AL48" s="535"/>
      <c r="AM48" s="535"/>
      <c r="AN48" s="29"/>
      <c r="AO48" s="29"/>
      <c r="AP48" s="29"/>
      <c r="AQ48" s="29"/>
      <c r="AR48" s="29"/>
      <c r="AS48" s="29"/>
      <c r="AT48" s="29"/>
    </row>
    <row r="49" spans="1:46">
      <c r="A49" s="1280"/>
      <c r="B49" s="720"/>
      <c r="C49" s="676"/>
      <c r="D49" s="324"/>
      <c r="E49" s="29"/>
      <c r="F49" s="535"/>
      <c r="G49" s="535"/>
      <c r="R49" s="720"/>
      <c r="S49" s="676"/>
      <c r="T49" s="324"/>
      <c r="U49" s="535"/>
      <c r="V49" s="535"/>
      <c r="W49" s="535"/>
      <c r="X49" s="29"/>
      <c r="Y49" s="29"/>
      <c r="Z49" s="29"/>
      <c r="AA49" s="29"/>
      <c r="AB49" s="29"/>
      <c r="AC49" s="29"/>
      <c r="AD49" s="29"/>
      <c r="AE49" s="29"/>
      <c r="AF49" s="29"/>
      <c r="AG49" s="29"/>
      <c r="AH49" s="720"/>
      <c r="AI49" s="676"/>
      <c r="AJ49" s="453"/>
      <c r="AK49" s="535"/>
      <c r="AL49" s="535"/>
      <c r="AM49" s="535"/>
      <c r="AN49" s="29"/>
      <c r="AO49" s="29"/>
      <c r="AP49" s="29"/>
      <c r="AQ49" s="29"/>
      <c r="AR49" s="29"/>
      <c r="AS49" s="29"/>
      <c r="AT49" s="29"/>
    </row>
    <row r="50" spans="1:46">
      <c r="A50" s="1280"/>
      <c r="B50" s="720"/>
      <c r="C50" s="676"/>
      <c r="D50" s="324"/>
      <c r="E50" s="29"/>
      <c r="F50" s="535"/>
      <c r="G50" s="535"/>
      <c r="R50" s="720"/>
      <c r="S50" s="676"/>
      <c r="T50" s="324"/>
      <c r="U50" s="535"/>
      <c r="V50" s="535"/>
      <c r="W50" s="535"/>
      <c r="X50" s="29"/>
      <c r="Y50" s="29"/>
      <c r="Z50" s="29"/>
      <c r="AA50" s="29"/>
      <c r="AB50" s="29"/>
      <c r="AC50" s="29"/>
      <c r="AD50" s="29"/>
      <c r="AE50" s="29"/>
      <c r="AF50" s="29"/>
      <c r="AG50" s="29"/>
      <c r="AH50" s="720"/>
      <c r="AI50" s="676"/>
      <c r="AJ50" s="453"/>
      <c r="AK50" s="535"/>
      <c r="AL50" s="535"/>
      <c r="AM50" s="535"/>
      <c r="AN50" s="29"/>
      <c r="AO50" s="29"/>
      <c r="AP50" s="29"/>
      <c r="AQ50" s="29"/>
      <c r="AR50" s="29"/>
      <c r="AS50" s="29"/>
      <c r="AT50" s="29"/>
    </row>
    <row r="51" spans="1:46">
      <c r="A51" s="1280"/>
      <c r="B51" s="720"/>
      <c r="C51" s="676"/>
      <c r="D51" s="324"/>
      <c r="E51" s="29"/>
      <c r="F51" s="535"/>
      <c r="G51" s="535"/>
      <c r="R51" s="720"/>
      <c r="S51" s="676"/>
      <c r="T51" s="324"/>
      <c r="U51" s="535"/>
      <c r="V51" s="535"/>
      <c r="W51" s="535"/>
      <c r="X51" s="29"/>
      <c r="Y51" s="29"/>
      <c r="Z51" s="29"/>
      <c r="AA51" s="29"/>
      <c r="AB51" s="29"/>
      <c r="AC51" s="29"/>
      <c r="AD51" s="29"/>
      <c r="AE51" s="29"/>
      <c r="AF51" s="29"/>
      <c r="AG51" s="29"/>
      <c r="AH51" s="720"/>
      <c r="AI51" s="676"/>
      <c r="AJ51" s="453"/>
      <c r="AK51" s="535"/>
      <c r="AL51" s="535"/>
      <c r="AM51" s="535"/>
      <c r="AN51" s="29"/>
      <c r="AO51" s="29"/>
      <c r="AP51" s="29"/>
      <c r="AQ51" s="29"/>
      <c r="AR51" s="29"/>
      <c r="AS51" s="29"/>
      <c r="AT51" s="29"/>
    </row>
    <row r="52" spans="1:46">
      <c r="A52" s="1280"/>
      <c r="B52" s="720"/>
      <c r="C52" s="676"/>
      <c r="D52" s="324"/>
      <c r="E52" s="29"/>
      <c r="F52" s="535"/>
      <c r="G52" s="535"/>
      <c r="R52" s="720"/>
      <c r="S52" s="676"/>
      <c r="T52" s="324"/>
      <c r="U52" s="535"/>
      <c r="V52" s="535"/>
      <c r="W52" s="535"/>
      <c r="X52" s="29"/>
      <c r="Y52" s="29"/>
      <c r="Z52" s="29"/>
      <c r="AA52" s="29"/>
      <c r="AB52" s="29"/>
      <c r="AC52" s="29"/>
      <c r="AD52" s="29"/>
      <c r="AE52" s="29"/>
      <c r="AF52" s="29"/>
      <c r="AG52" s="29"/>
      <c r="AH52" s="720"/>
      <c r="AI52" s="676"/>
      <c r="AJ52" s="453"/>
      <c r="AK52" s="535"/>
      <c r="AL52" s="535"/>
      <c r="AM52" s="535"/>
      <c r="AN52" s="29"/>
      <c r="AO52" s="29"/>
      <c r="AP52" s="29"/>
      <c r="AQ52" s="29"/>
      <c r="AR52" s="29"/>
      <c r="AS52" s="29"/>
      <c r="AT52" s="29"/>
    </row>
    <row r="53" spans="1:46">
      <c r="A53" s="1280"/>
      <c r="B53" s="720"/>
      <c r="C53" s="676"/>
      <c r="D53" s="324"/>
      <c r="E53" s="29"/>
      <c r="F53" s="535"/>
      <c r="G53" s="535"/>
      <c r="R53" s="720"/>
      <c r="S53" s="676"/>
      <c r="T53" s="324"/>
      <c r="U53" s="535"/>
      <c r="V53" s="535"/>
      <c r="W53" s="535"/>
      <c r="X53" s="29"/>
      <c r="Y53" s="29"/>
      <c r="Z53" s="29"/>
      <c r="AA53" s="29"/>
      <c r="AB53" s="29"/>
      <c r="AC53" s="29"/>
      <c r="AD53" s="29"/>
      <c r="AE53" s="29"/>
      <c r="AF53" s="29"/>
      <c r="AG53" s="29"/>
      <c r="AH53" s="720"/>
      <c r="AI53" s="676"/>
      <c r="AJ53" s="453"/>
      <c r="AK53" s="535"/>
      <c r="AL53" s="535"/>
      <c r="AM53" s="535"/>
      <c r="AN53" s="29"/>
      <c r="AO53" s="29"/>
      <c r="AP53" s="29"/>
      <c r="AQ53" s="29"/>
      <c r="AR53" s="29"/>
      <c r="AS53" s="29"/>
      <c r="AT53" s="29"/>
    </row>
    <row r="54" spans="1:46" ht="15" thickBot="1">
      <c r="A54" s="1281"/>
      <c r="B54" s="720"/>
      <c r="C54" s="677"/>
      <c r="D54" s="449"/>
      <c r="E54" s="29"/>
      <c r="F54" s="535"/>
      <c r="G54" s="535"/>
      <c r="R54" s="720"/>
      <c r="S54" s="755"/>
      <c r="T54" s="324"/>
      <c r="U54" s="535"/>
      <c r="V54" s="535"/>
      <c r="W54" s="535"/>
      <c r="X54" s="29"/>
      <c r="Y54" s="29"/>
      <c r="Z54" s="29"/>
      <c r="AA54" s="29"/>
      <c r="AB54" s="29"/>
      <c r="AC54" s="29"/>
      <c r="AD54" s="29"/>
      <c r="AE54" s="29"/>
      <c r="AF54" s="29"/>
      <c r="AG54" s="29"/>
      <c r="AH54" s="720"/>
      <c r="AI54" s="755"/>
      <c r="AJ54" s="453"/>
      <c r="AK54" s="535"/>
      <c r="AL54" s="535"/>
      <c r="AM54" s="535"/>
      <c r="AN54" s="29"/>
      <c r="AO54" s="29"/>
      <c r="AP54" s="29"/>
      <c r="AQ54" s="29"/>
      <c r="AR54" s="29"/>
      <c r="AS54" s="29"/>
      <c r="AT54" s="29"/>
    </row>
    <row r="55" spans="1:46" ht="15.5" thickBot="1">
      <c r="B55" s="427"/>
      <c r="C55" s="340" t="s">
        <v>255</v>
      </c>
      <c r="D55" s="428" t="s">
        <v>104</v>
      </c>
      <c r="E55" s="535"/>
      <c r="F55" s="535"/>
      <c r="G55" s="535"/>
      <c r="R55" s="427"/>
      <c r="S55" s="340" t="s">
        <v>255</v>
      </c>
      <c r="T55" s="428" t="s">
        <v>104</v>
      </c>
      <c r="U55" s="535"/>
      <c r="V55" s="535"/>
      <c r="W55" s="535"/>
      <c r="X55" s="29"/>
      <c r="Y55" s="29"/>
      <c r="Z55" s="29"/>
      <c r="AA55" s="29"/>
      <c r="AB55" s="29"/>
      <c r="AC55" s="29"/>
      <c r="AD55" s="29"/>
      <c r="AE55" s="29"/>
      <c r="AF55" s="29"/>
      <c r="AG55" s="29"/>
      <c r="AH55" s="427"/>
      <c r="AI55" s="340" t="s">
        <v>255</v>
      </c>
      <c r="AJ55" s="428" t="s">
        <v>104</v>
      </c>
      <c r="AK55" s="535"/>
      <c r="AL55" s="535"/>
      <c r="AM55" s="535"/>
      <c r="AN55" s="29"/>
      <c r="AO55" s="29"/>
      <c r="AP55" s="29"/>
      <c r="AQ55" s="29"/>
      <c r="AR55" s="29"/>
      <c r="AS55" s="29"/>
      <c r="AT55" s="29"/>
    </row>
    <row r="56" spans="1:46" ht="14.5" customHeight="1">
      <c r="A56" s="1279" t="s">
        <v>2528</v>
      </c>
      <c r="B56" s="546"/>
      <c r="C56" s="756"/>
      <c r="D56" s="453"/>
      <c r="E56" s="29"/>
      <c r="F56" s="535"/>
      <c r="G56" s="535"/>
      <c r="R56" s="546"/>
      <c r="S56" s="756"/>
      <c r="T56" s="453"/>
      <c r="U56" s="535"/>
      <c r="V56" s="535"/>
      <c r="W56" s="535"/>
      <c r="X56" s="29"/>
      <c r="Y56" s="29"/>
      <c r="Z56" s="29"/>
      <c r="AA56" s="29"/>
      <c r="AB56" s="29"/>
      <c r="AC56" s="29"/>
      <c r="AD56" s="29"/>
      <c r="AE56" s="29"/>
      <c r="AF56" s="29"/>
      <c r="AG56" s="29"/>
      <c r="AH56" s="546"/>
      <c r="AI56" s="756"/>
      <c r="AJ56" s="453"/>
      <c r="AK56" s="535"/>
      <c r="AL56" s="535"/>
      <c r="AM56" s="535"/>
      <c r="AN56" s="29"/>
      <c r="AO56" s="29"/>
      <c r="AP56" s="29"/>
      <c r="AQ56" s="29"/>
      <c r="AR56" s="29"/>
      <c r="AS56" s="29"/>
      <c r="AT56" s="29"/>
    </row>
    <row r="57" spans="1:46">
      <c r="A57" s="1280"/>
      <c r="B57" s="546"/>
      <c r="C57" s="756"/>
      <c r="D57" s="324"/>
      <c r="E57" s="1053"/>
      <c r="F57" s="535"/>
      <c r="G57" s="535"/>
      <c r="R57" s="546"/>
      <c r="S57" s="756"/>
      <c r="T57" s="324"/>
      <c r="U57" s="535"/>
      <c r="V57" s="535"/>
      <c r="W57" s="535"/>
      <c r="X57" s="29"/>
      <c r="Y57" s="29"/>
      <c r="Z57" s="29"/>
      <c r="AA57" s="29"/>
      <c r="AB57" s="29"/>
      <c r="AC57" s="29"/>
      <c r="AD57" s="29"/>
      <c r="AE57" s="29"/>
      <c r="AF57" s="29"/>
      <c r="AG57" s="29"/>
      <c r="AH57" s="546"/>
      <c r="AI57" s="756"/>
      <c r="AJ57" s="324"/>
      <c r="AK57" s="535"/>
      <c r="AL57" s="535"/>
      <c r="AM57" s="535"/>
      <c r="AN57" s="29"/>
      <c r="AO57" s="29"/>
      <c r="AP57" s="29"/>
      <c r="AQ57" s="29"/>
      <c r="AR57" s="29"/>
      <c r="AS57" s="29"/>
      <c r="AT57" s="29"/>
    </row>
    <row r="58" spans="1:46">
      <c r="A58" s="1280"/>
      <c r="B58" s="546"/>
      <c r="C58" s="756"/>
      <c r="D58" s="324"/>
      <c r="E58" s="1053"/>
      <c r="F58" s="535"/>
      <c r="G58" s="535"/>
      <c r="R58" s="546"/>
      <c r="S58" s="756"/>
      <c r="T58" s="324"/>
      <c r="U58" s="535"/>
      <c r="V58" s="535"/>
      <c r="W58" s="535"/>
      <c r="X58" s="29"/>
      <c r="Y58" s="29"/>
      <c r="Z58" s="29"/>
      <c r="AA58" s="29"/>
      <c r="AB58" s="29"/>
      <c r="AC58" s="29"/>
      <c r="AD58" s="29"/>
      <c r="AE58" s="29"/>
      <c r="AF58" s="29"/>
      <c r="AG58" s="29"/>
      <c r="AH58" s="546"/>
      <c r="AI58" s="756"/>
      <c r="AJ58" s="324"/>
      <c r="AK58" s="535"/>
      <c r="AL58" s="535"/>
      <c r="AM58" s="535"/>
      <c r="AN58" s="29"/>
      <c r="AO58" s="29"/>
      <c r="AP58" s="29"/>
      <c r="AQ58" s="29"/>
      <c r="AR58" s="29"/>
      <c r="AS58" s="29"/>
      <c r="AT58" s="29"/>
    </row>
    <row r="59" spans="1:46">
      <c r="A59" s="1280"/>
      <c r="B59" s="546"/>
      <c r="C59" s="756"/>
      <c r="D59" s="324"/>
      <c r="E59" s="1053"/>
      <c r="F59" s="535"/>
      <c r="G59" s="535"/>
      <c r="R59" s="546"/>
      <c r="S59" s="756"/>
      <c r="T59" s="324"/>
      <c r="U59" s="535"/>
      <c r="V59" s="535"/>
      <c r="W59" s="535"/>
      <c r="X59" s="29"/>
      <c r="Y59" s="29"/>
      <c r="Z59" s="29"/>
      <c r="AA59" s="29"/>
      <c r="AB59" s="29"/>
      <c r="AC59" s="29"/>
      <c r="AD59" s="29"/>
      <c r="AE59" s="29"/>
      <c r="AF59" s="29"/>
      <c r="AG59" s="29"/>
      <c r="AH59" s="546"/>
      <c r="AI59" s="756"/>
      <c r="AJ59" s="324"/>
      <c r="AK59" s="535"/>
      <c r="AL59" s="535"/>
      <c r="AM59" s="535"/>
      <c r="AN59" s="29"/>
      <c r="AO59" s="29"/>
      <c r="AP59" s="29"/>
      <c r="AQ59" s="29"/>
      <c r="AR59" s="29"/>
      <c r="AS59" s="29"/>
      <c r="AT59" s="29"/>
    </row>
    <row r="60" spans="1:46">
      <c r="A60" s="1280"/>
      <c r="B60" s="546"/>
      <c r="C60" s="756"/>
      <c r="D60" s="324"/>
      <c r="E60" s="1053"/>
      <c r="F60" s="535"/>
      <c r="G60" s="535"/>
      <c r="R60" s="546"/>
      <c r="S60" s="756"/>
      <c r="T60" s="324"/>
      <c r="U60" s="535"/>
      <c r="V60" s="535"/>
      <c r="W60" s="535"/>
      <c r="X60" s="29"/>
      <c r="Y60" s="29"/>
      <c r="Z60" s="29"/>
      <c r="AA60" s="29"/>
      <c r="AB60" s="29"/>
      <c r="AC60" s="29"/>
      <c r="AD60" s="29"/>
      <c r="AE60" s="29"/>
      <c r="AF60" s="29"/>
      <c r="AG60" s="29"/>
      <c r="AH60" s="546"/>
      <c r="AI60" s="756"/>
      <c r="AJ60" s="324"/>
      <c r="AK60" s="535"/>
      <c r="AL60" s="535"/>
      <c r="AM60" s="535"/>
      <c r="AN60" s="29"/>
      <c r="AO60" s="29"/>
      <c r="AP60" s="29"/>
      <c r="AQ60" s="29"/>
      <c r="AR60" s="29"/>
      <c r="AS60" s="29"/>
      <c r="AT60" s="29"/>
    </row>
    <row r="61" spans="1:46">
      <c r="A61" s="1280"/>
      <c r="B61" s="546"/>
      <c r="C61" s="756"/>
      <c r="D61" s="324"/>
      <c r="E61" s="1053"/>
      <c r="F61" s="535"/>
      <c r="G61" s="535"/>
      <c r="R61" s="546"/>
      <c r="S61" s="756"/>
      <c r="T61" s="324"/>
      <c r="U61" s="535"/>
      <c r="V61" s="535"/>
      <c r="W61" s="535"/>
      <c r="X61" s="29"/>
      <c r="Y61" s="29"/>
      <c r="Z61" s="29"/>
      <c r="AA61" s="29"/>
      <c r="AB61" s="29"/>
      <c r="AC61" s="29"/>
      <c r="AD61" s="29"/>
      <c r="AE61" s="29"/>
      <c r="AF61" s="29"/>
      <c r="AG61" s="29"/>
      <c r="AH61" s="546"/>
      <c r="AI61" s="756"/>
      <c r="AJ61" s="324"/>
      <c r="AK61" s="535"/>
      <c r="AL61" s="535"/>
      <c r="AM61" s="535"/>
      <c r="AN61" s="29"/>
      <c r="AO61" s="29"/>
      <c r="AP61" s="29"/>
      <c r="AQ61" s="29"/>
      <c r="AR61" s="29"/>
      <c r="AS61" s="29"/>
      <c r="AT61" s="29"/>
    </row>
    <row r="62" spans="1:46">
      <c r="A62" s="1280"/>
      <c r="B62" s="546"/>
      <c r="C62" s="756"/>
      <c r="D62" s="324"/>
      <c r="E62" s="1053"/>
      <c r="F62" s="535"/>
      <c r="G62" s="535"/>
      <c r="R62" s="546"/>
      <c r="S62" s="756"/>
      <c r="T62" s="324"/>
      <c r="U62" s="535"/>
      <c r="V62" s="535"/>
      <c r="W62" s="535"/>
      <c r="X62" s="29"/>
      <c r="Y62" s="29"/>
      <c r="Z62" s="29"/>
      <c r="AA62" s="29"/>
      <c r="AB62" s="29"/>
      <c r="AC62" s="29"/>
      <c r="AD62" s="29"/>
      <c r="AE62" s="29"/>
      <c r="AF62" s="29"/>
      <c r="AG62" s="29"/>
      <c r="AH62" s="546"/>
      <c r="AI62" s="756"/>
      <c r="AJ62" s="324"/>
      <c r="AK62" s="535"/>
      <c r="AL62" s="535"/>
      <c r="AM62" s="535"/>
      <c r="AN62" s="29"/>
      <c r="AO62" s="29"/>
      <c r="AP62" s="29"/>
      <c r="AQ62" s="29"/>
      <c r="AR62" s="29"/>
      <c r="AS62" s="29"/>
      <c r="AT62" s="29"/>
    </row>
    <row r="63" spans="1:46">
      <c r="A63" s="1280"/>
      <c r="B63" s="546"/>
      <c r="C63" s="756"/>
      <c r="D63" s="324"/>
      <c r="E63" s="1053"/>
      <c r="F63" s="535"/>
      <c r="G63" s="535"/>
      <c r="R63" s="546"/>
      <c r="S63" s="756"/>
      <c r="T63" s="324"/>
      <c r="U63" s="535"/>
      <c r="V63" s="535"/>
      <c r="W63" s="535"/>
      <c r="X63" s="29"/>
      <c r="Y63" s="29"/>
      <c r="Z63" s="29"/>
      <c r="AA63" s="29"/>
      <c r="AB63" s="29"/>
      <c r="AC63" s="29"/>
      <c r="AD63" s="29"/>
      <c r="AE63" s="29"/>
      <c r="AF63" s="29"/>
      <c r="AG63" s="29"/>
      <c r="AH63" s="546"/>
      <c r="AI63" s="756"/>
      <c r="AJ63" s="324"/>
      <c r="AK63" s="535"/>
      <c r="AL63" s="535"/>
      <c r="AM63" s="535"/>
      <c r="AN63" s="29"/>
      <c r="AO63" s="29"/>
      <c r="AP63" s="29"/>
      <c r="AQ63" s="29"/>
      <c r="AR63" s="29"/>
      <c r="AS63" s="29"/>
      <c r="AT63" s="29"/>
    </row>
    <row r="64" spans="1:46" ht="15" thickBot="1">
      <c r="A64" s="1281"/>
      <c r="B64" s="546"/>
      <c r="C64" s="756"/>
      <c r="D64" s="543"/>
      <c r="E64" s="1054"/>
      <c r="F64" s="535"/>
      <c r="G64" s="535"/>
      <c r="R64" s="546"/>
      <c r="S64" s="756"/>
      <c r="T64" s="543"/>
      <c r="U64" s="535"/>
      <c r="V64" s="535"/>
      <c r="W64" s="535"/>
      <c r="X64" s="29"/>
      <c r="Y64" s="29"/>
      <c r="Z64" s="29"/>
      <c r="AA64" s="29"/>
      <c r="AB64" s="29"/>
      <c r="AC64" s="29"/>
      <c r="AD64" s="29"/>
      <c r="AE64" s="29"/>
      <c r="AF64" s="29"/>
      <c r="AG64" s="29"/>
      <c r="AH64" s="546"/>
      <c r="AI64" s="756"/>
      <c r="AJ64" s="543"/>
      <c r="AK64" s="535"/>
      <c r="AL64" s="535"/>
      <c r="AM64" s="535"/>
      <c r="AN64" s="29"/>
      <c r="AO64" s="29"/>
      <c r="AP64" s="29"/>
      <c r="AQ64" s="29"/>
      <c r="AR64" s="29"/>
      <c r="AS64" s="29"/>
      <c r="AT64" s="29"/>
    </row>
    <row r="65" spans="1:46" ht="16" thickBot="1">
      <c r="B65" s="392"/>
      <c r="C65" s="393" t="s">
        <v>256</v>
      </c>
      <c r="D65" s="454" t="s">
        <v>104</v>
      </c>
      <c r="E65" s="898" t="s">
        <v>88</v>
      </c>
      <c r="F65" s="29"/>
      <c r="G65" s="29"/>
      <c r="R65" s="392"/>
      <c r="S65" s="393" t="s">
        <v>256</v>
      </c>
      <c r="T65" s="454" t="s">
        <v>104</v>
      </c>
      <c r="U65" s="898" t="s">
        <v>88</v>
      </c>
      <c r="W65" s="29"/>
      <c r="X65" s="29"/>
      <c r="Y65" s="29"/>
      <c r="Z65" s="29"/>
      <c r="AA65" s="29"/>
      <c r="AB65" s="29"/>
      <c r="AC65" s="29"/>
      <c r="AD65" s="29"/>
      <c r="AE65" s="29"/>
      <c r="AF65" s="29"/>
      <c r="AG65" s="29"/>
      <c r="AH65" s="392"/>
      <c r="AI65" s="393" t="s">
        <v>256</v>
      </c>
      <c r="AJ65" s="454" t="s">
        <v>104</v>
      </c>
      <c r="AK65" s="898" t="s">
        <v>88</v>
      </c>
      <c r="AL65" s="29"/>
      <c r="AM65" s="29"/>
      <c r="AN65" s="29"/>
      <c r="AO65" s="29"/>
      <c r="AP65" s="29"/>
      <c r="AQ65" s="29"/>
      <c r="AR65" s="29"/>
      <c r="AS65" s="29"/>
      <c r="AT65" s="29"/>
    </row>
    <row r="66" spans="1:46" ht="14.5" customHeight="1">
      <c r="A66" s="1279" t="s">
        <v>2570</v>
      </c>
      <c r="B66" s="450"/>
      <c r="C66" s="556"/>
      <c r="D66" s="413"/>
      <c r="E66" s="324"/>
      <c r="F66" s="29"/>
      <c r="G66" s="535"/>
      <c r="H66" s="535"/>
      <c r="R66" s="450"/>
      <c r="S66" s="556"/>
      <c r="T66" s="413"/>
      <c r="U66" s="175"/>
      <c r="V66" s="535"/>
      <c r="W66" s="535"/>
      <c r="X66" s="29"/>
      <c r="Y66" s="29"/>
      <c r="Z66" s="29"/>
      <c r="AA66" s="29"/>
      <c r="AB66" s="29"/>
      <c r="AC66" s="29"/>
      <c r="AD66" s="29"/>
      <c r="AE66" s="29"/>
      <c r="AF66" s="29"/>
      <c r="AG66" s="29"/>
      <c r="AH66" s="450"/>
      <c r="AI66" s="556"/>
      <c r="AJ66" s="413"/>
      <c r="AK66" s="899"/>
      <c r="AL66" s="535"/>
      <c r="AM66" s="535"/>
      <c r="AN66" s="29"/>
      <c r="AO66" s="29"/>
      <c r="AP66" s="29"/>
      <c r="AQ66" s="29"/>
      <c r="AR66" s="29"/>
      <c r="AS66" s="29"/>
      <c r="AT66" s="29"/>
    </row>
    <row r="67" spans="1:46">
      <c r="A67" s="1280"/>
      <c r="B67" s="450"/>
      <c r="C67" s="556"/>
      <c r="D67" s="367"/>
      <c r="E67" s="324"/>
      <c r="F67" s="535"/>
      <c r="G67" s="535"/>
      <c r="H67" s="535"/>
      <c r="R67" s="450"/>
      <c r="S67" s="556"/>
      <c r="T67" s="367"/>
      <c r="U67" s="899"/>
      <c r="V67" s="535"/>
      <c r="W67" s="535"/>
      <c r="X67" s="29"/>
      <c r="Y67" s="29"/>
      <c r="Z67" s="29"/>
      <c r="AA67" s="29"/>
      <c r="AB67" s="29"/>
      <c r="AC67" s="29"/>
      <c r="AD67" s="29"/>
      <c r="AE67" s="29"/>
      <c r="AF67" s="29"/>
      <c r="AG67" s="29"/>
      <c r="AH67" s="450"/>
      <c r="AI67" s="556"/>
      <c r="AJ67" s="367"/>
      <c r="AK67" s="899"/>
      <c r="AL67" s="535"/>
      <c r="AM67" s="535"/>
      <c r="AN67" s="29"/>
      <c r="AO67" s="29"/>
      <c r="AP67" s="29"/>
      <c r="AQ67" s="29"/>
      <c r="AR67" s="29"/>
      <c r="AS67" s="29"/>
      <c r="AT67" s="29"/>
    </row>
    <row r="68" spans="1:46">
      <c r="A68" s="1280"/>
      <c r="B68" s="450"/>
      <c r="C68" s="556"/>
      <c r="D68" s="367"/>
      <c r="E68" s="324"/>
      <c r="F68" s="535"/>
      <c r="G68" s="535"/>
      <c r="H68" s="535"/>
      <c r="R68" s="450"/>
      <c r="S68" s="556"/>
      <c r="T68" s="367"/>
      <c r="U68" s="899"/>
      <c r="V68" s="535"/>
      <c r="W68" s="535"/>
      <c r="X68" s="29"/>
      <c r="Y68" s="29"/>
      <c r="Z68" s="29"/>
      <c r="AA68" s="29"/>
      <c r="AB68" s="29"/>
      <c r="AC68" s="29"/>
      <c r="AD68" s="29"/>
      <c r="AE68" s="29"/>
      <c r="AF68" s="29"/>
      <c r="AG68" s="29"/>
      <c r="AH68" s="450"/>
      <c r="AI68" s="556"/>
      <c r="AJ68" s="367"/>
      <c r="AK68" s="899"/>
      <c r="AL68" s="535"/>
      <c r="AM68" s="535"/>
      <c r="AN68" s="29"/>
      <c r="AO68" s="29"/>
      <c r="AP68" s="29"/>
      <c r="AQ68" s="29"/>
      <c r="AR68" s="29"/>
      <c r="AS68" s="29"/>
      <c r="AT68" s="29"/>
    </row>
    <row r="69" spans="1:46">
      <c r="A69" s="1280"/>
      <c r="B69" s="450"/>
      <c r="C69" s="556"/>
      <c r="D69" s="367"/>
      <c r="E69" s="324"/>
      <c r="F69" s="535"/>
      <c r="G69" s="535"/>
      <c r="H69" s="535"/>
      <c r="R69" s="450"/>
      <c r="S69" s="556"/>
      <c r="T69" s="367"/>
      <c r="U69" s="899"/>
      <c r="V69" s="535"/>
      <c r="W69" s="535"/>
      <c r="X69" s="29"/>
      <c r="Y69" s="29"/>
      <c r="Z69" s="29"/>
      <c r="AA69" s="29"/>
      <c r="AB69" s="29"/>
      <c r="AC69" s="29"/>
      <c r="AD69" s="29"/>
      <c r="AE69" s="29"/>
      <c r="AF69" s="29"/>
      <c r="AG69" s="29"/>
      <c r="AH69" s="450"/>
      <c r="AI69" s="556"/>
      <c r="AJ69" s="367"/>
      <c r="AK69" s="899"/>
      <c r="AL69" s="535"/>
      <c r="AM69" s="535"/>
      <c r="AN69" s="29"/>
      <c r="AO69" s="29"/>
      <c r="AP69" s="29"/>
      <c r="AQ69" s="29"/>
      <c r="AR69" s="29"/>
      <c r="AS69" s="29"/>
      <c r="AT69" s="29"/>
    </row>
    <row r="70" spans="1:46">
      <c r="A70" s="1280"/>
      <c r="B70" s="450"/>
      <c r="C70" s="556"/>
      <c r="D70" s="367"/>
      <c r="E70" s="324"/>
      <c r="F70" s="535"/>
      <c r="G70" s="535"/>
      <c r="H70" s="535"/>
      <c r="R70" s="450"/>
      <c r="S70" s="556"/>
      <c r="T70" s="367"/>
      <c r="U70" s="899"/>
      <c r="V70" s="535"/>
      <c r="W70" s="535"/>
      <c r="X70" s="29"/>
      <c r="Y70" s="29"/>
      <c r="Z70" s="29"/>
      <c r="AA70" s="29"/>
      <c r="AB70" s="29"/>
      <c r="AC70" s="29"/>
      <c r="AD70" s="29"/>
      <c r="AE70" s="29"/>
      <c r="AF70" s="29"/>
      <c r="AG70" s="29"/>
      <c r="AH70" s="450"/>
      <c r="AI70" s="556"/>
      <c r="AJ70" s="367"/>
      <c r="AK70" s="899"/>
      <c r="AL70" s="535"/>
      <c r="AM70" s="535"/>
      <c r="AN70" s="29"/>
      <c r="AO70" s="29"/>
      <c r="AP70" s="29"/>
      <c r="AQ70" s="29"/>
      <c r="AR70" s="29"/>
      <c r="AS70" s="29"/>
      <c r="AT70" s="29"/>
    </row>
    <row r="71" spans="1:46">
      <c r="A71" s="1280"/>
      <c r="B71" s="450"/>
      <c r="C71" s="556"/>
      <c r="D71" s="367"/>
      <c r="E71" s="324"/>
      <c r="F71" s="535"/>
      <c r="G71" s="535"/>
      <c r="H71" s="535"/>
      <c r="R71" s="450"/>
      <c r="S71" s="556"/>
      <c r="T71" s="367"/>
      <c r="U71" s="899"/>
      <c r="V71" s="535"/>
      <c r="W71" s="535"/>
      <c r="X71" s="29"/>
      <c r="Y71" s="29"/>
      <c r="Z71" s="29"/>
      <c r="AA71" s="29"/>
      <c r="AB71" s="29"/>
      <c r="AC71" s="29"/>
      <c r="AD71" s="29"/>
      <c r="AE71" s="29"/>
      <c r="AF71" s="29"/>
      <c r="AG71" s="29"/>
      <c r="AH71" s="450"/>
      <c r="AI71" s="556"/>
      <c r="AJ71" s="367"/>
      <c r="AK71" s="899"/>
      <c r="AL71" s="535"/>
      <c r="AM71" s="535"/>
      <c r="AN71" s="29"/>
      <c r="AO71" s="29"/>
      <c r="AP71" s="29"/>
      <c r="AQ71" s="29"/>
      <c r="AR71" s="29"/>
      <c r="AS71" s="29"/>
      <c r="AT71" s="29"/>
    </row>
    <row r="72" spans="1:46">
      <c r="A72" s="1280"/>
      <c r="B72" s="450"/>
      <c r="C72" s="556"/>
      <c r="D72" s="367"/>
      <c r="E72" s="324"/>
      <c r="F72" s="535"/>
      <c r="G72" s="535"/>
      <c r="H72" s="535"/>
      <c r="R72" s="450"/>
      <c r="S72" s="556"/>
      <c r="T72" s="367"/>
      <c r="U72" s="899"/>
      <c r="V72" s="535"/>
      <c r="W72" s="535"/>
      <c r="X72" s="29"/>
      <c r="Y72" s="29"/>
      <c r="Z72" s="29"/>
      <c r="AA72" s="29"/>
      <c r="AB72" s="29"/>
      <c r="AC72" s="29"/>
      <c r="AD72" s="29"/>
      <c r="AE72" s="29"/>
      <c r="AF72" s="29"/>
      <c r="AG72" s="29"/>
      <c r="AH72" s="450"/>
      <c r="AI72" s="556"/>
      <c r="AJ72" s="367"/>
      <c r="AK72" s="899"/>
      <c r="AL72" s="535"/>
      <c r="AM72" s="535"/>
      <c r="AN72" s="29"/>
      <c r="AO72" s="29"/>
      <c r="AP72" s="29"/>
      <c r="AQ72" s="29"/>
      <c r="AR72" s="29"/>
      <c r="AS72" s="29"/>
      <c r="AT72" s="29"/>
    </row>
    <row r="73" spans="1:46">
      <c r="A73" s="1280"/>
      <c r="B73" s="450"/>
      <c r="C73" s="556"/>
      <c r="D73" s="367"/>
      <c r="E73" s="324"/>
      <c r="F73" s="535"/>
      <c r="G73" s="535"/>
      <c r="H73" s="535"/>
      <c r="R73" s="450"/>
      <c r="S73" s="556"/>
      <c r="T73" s="367"/>
      <c r="U73" s="899"/>
      <c r="V73" s="535"/>
      <c r="W73" s="535"/>
      <c r="X73" s="29"/>
      <c r="Y73" s="29"/>
      <c r="Z73" s="29"/>
      <c r="AA73" s="29"/>
      <c r="AB73" s="29"/>
      <c r="AC73" s="29"/>
      <c r="AD73" s="29"/>
      <c r="AE73" s="29"/>
      <c r="AF73" s="29"/>
      <c r="AG73" s="29"/>
      <c r="AH73" s="450"/>
      <c r="AI73" s="556"/>
      <c r="AJ73" s="367"/>
      <c r="AK73" s="899"/>
      <c r="AL73" s="535"/>
      <c r="AM73" s="535"/>
      <c r="AN73" s="29"/>
      <c r="AO73" s="29"/>
      <c r="AP73" s="29"/>
      <c r="AQ73" s="29"/>
      <c r="AR73" s="29"/>
      <c r="AS73" s="29"/>
      <c r="AT73" s="29"/>
    </row>
    <row r="74" spans="1:46">
      <c r="A74" s="1280"/>
      <c r="B74" s="450"/>
      <c r="C74" s="556"/>
      <c r="D74" s="367"/>
      <c r="E74" s="324"/>
      <c r="F74" s="535"/>
      <c r="G74" s="535"/>
      <c r="H74" s="535"/>
      <c r="R74" s="450"/>
      <c r="S74" s="556"/>
      <c r="T74" s="367"/>
      <c r="U74" s="899"/>
      <c r="V74" s="535"/>
      <c r="W74" s="535"/>
      <c r="X74" s="29"/>
      <c r="Y74" s="29"/>
      <c r="Z74" s="29"/>
      <c r="AA74" s="29"/>
      <c r="AB74" s="29"/>
      <c r="AC74" s="29"/>
      <c r="AD74" s="29"/>
      <c r="AE74" s="29"/>
      <c r="AF74" s="29"/>
      <c r="AG74" s="29"/>
      <c r="AH74" s="450"/>
      <c r="AI74" s="556"/>
      <c r="AJ74" s="367"/>
      <c r="AK74" s="899"/>
      <c r="AL74" s="535"/>
      <c r="AM74" s="535"/>
      <c r="AN74" s="29"/>
      <c r="AO74" s="29"/>
      <c r="AP74" s="29"/>
      <c r="AQ74" s="29"/>
      <c r="AR74" s="29"/>
      <c r="AS74" s="29"/>
      <c r="AT74" s="29"/>
    </row>
    <row r="75" spans="1:46">
      <c r="A75" s="1280"/>
      <c r="B75" s="450"/>
      <c r="C75" s="556"/>
      <c r="D75" s="367"/>
      <c r="E75" s="324"/>
      <c r="F75" s="535"/>
      <c r="G75" s="535"/>
      <c r="H75" s="535"/>
      <c r="R75" s="450"/>
      <c r="S75" s="556"/>
      <c r="T75" s="367"/>
      <c r="U75" s="899"/>
      <c r="V75" s="535"/>
      <c r="W75" s="535"/>
      <c r="X75" s="29"/>
      <c r="Y75" s="29"/>
      <c r="Z75" s="29"/>
      <c r="AA75" s="29"/>
      <c r="AB75" s="29"/>
      <c r="AC75" s="29"/>
      <c r="AD75" s="29"/>
      <c r="AE75" s="29"/>
      <c r="AF75" s="29"/>
      <c r="AG75" s="29"/>
      <c r="AH75" s="450"/>
      <c r="AI75" s="556"/>
      <c r="AJ75" s="367"/>
      <c r="AK75" s="899"/>
      <c r="AL75" s="535"/>
      <c r="AM75" s="535"/>
      <c r="AN75" s="29"/>
      <c r="AO75" s="29"/>
      <c r="AP75" s="29"/>
      <c r="AQ75" s="29"/>
      <c r="AR75" s="29"/>
      <c r="AS75" s="29"/>
      <c r="AT75" s="29"/>
    </row>
    <row r="76" spans="1:46">
      <c r="A76" s="1280"/>
      <c r="B76" s="450"/>
      <c r="C76" s="556"/>
      <c r="D76" s="367"/>
      <c r="E76" s="324"/>
      <c r="F76" s="535"/>
      <c r="G76" s="535"/>
      <c r="H76" s="535"/>
      <c r="R76" s="450"/>
      <c r="S76" s="556"/>
      <c r="T76" s="367"/>
      <c r="U76" s="899"/>
      <c r="V76" s="535"/>
      <c r="W76" s="535"/>
      <c r="X76" s="29"/>
      <c r="Y76" s="29"/>
      <c r="Z76" s="29"/>
      <c r="AA76" s="29"/>
      <c r="AB76" s="29"/>
      <c r="AC76" s="29"/>
      <c r="AD76" s="29"/>
      <c r="AE76" s="29"/>
      <c r="AF76" s="29"/>
      <c r="AG76" s="29"/>
      <c r="AH76" s="450"/>
      <c r="AI76" s="556"/>
      <c r="AJ76" s="367"/>
      <c r="AK76" s="899"/>
      <c r="AL76" s="535"/>
      <c r="AM76" s="535"/>
      <c r="AN76" s="29"/>
      <c r="AO76" s="29"/>
      <c r="AP76" s="29"/>
      <c r="AQ76" s="29"/>
      <c r="AR76" s="29"/>
      <c r="AS76" s="29"/>
      <c r="AT76" s="29"/>
    </row>
    <row r="77" spans="1:46">
      <c r="A77" s="1280"/>
      <c r="B77" s="450"/>
      <c r="C77" s="556"/>
      <c r="D77" s="367"/>
      <c r="E77" s="324"/>
      <c r="F77" s="535"/>
      <c r="G77" s="535"/>
      <c r="H77" s="535"/>
      <c r="R77" s="450"/>
      <c r="S77" s="556"/>
      <c r="T77" s="367"/>
      <c r="U77" s="899"/>
      <c r="V77" s="535"/>
      <c r="W77" s="535"/>
      <c r="X77" s="29"/>
      <c r="Y77" s="29"/>
      <c r="Z77" s="29"/>
      <c r="AA77" s="29"/>
      <c r="AB77" s="29"/>
      <c r="AC77" s="29"/>
      <c r="AD77" s="29"/>
      <c r="AE77" s="29"/>
      <c r="AF77" s="29"/>
      <c r="AG77" s="29"/>
      <c r="AH77" s="450"/>
      <c r="AI77" s="556"/>
      <c r="AJ77" s="367"/>
      <c r="AK77" s="899"/>
      <c r="AL77" s="535"/>
      <c r="AM77" s="535"/>
      <c r="AN77" s="29"/>
      <c r="AO77" s="29"/>
      <c r="AP77" s="29"/>
      <c r="AQ77" s="29"/>
      <c r="AR77" s="29"/>
      <c r="AS77" s="29"/>
      <c r="AT77" s="29"/>
    </row>
    <row r="78" spans="1:46" ht="15" thickBot="1">
      <c r="A78" s="1281"/>
      <c r="B78" s="450"/>
      <c r="C78" s="928"/>
      <c r="D78" s="432"/>
      <c r="E78" s="543"/>
      <c r="F78" s="535"/>
      <c r="G78" s="535"/>
      <c r="H78" s="535"/>
      <c r="R78" s="451"/>
      <c r="S78" s="556"/>
      <c r="T78" s="727"/>
      <c r="U78" s="899"/>
      <c r="V78" s="535"/>
      <c r="W78" s="535"/>
      <c r="X78" s="29"/>
      <c r="Y78" s="29"/>
      <c r="Z78" s="29"/>
      <c r="AA78" s="29"/>
      <c r="AB78" s="29"/>
      <c r="AC78" s="29"/>
      <c r="AD78" s="29"/>
      <c r="AE78" s="29"/>
      <c r="AF78" s="29"/>
      <c r="AG78" s="29"/>
      <c r="AH78" s="451"/>
      <c r="AI78" s="556"/>
      <c r="AJ78" s="727"/>
      <c r="AK78" s="899"/>
      <c r="AL78" s="535"/>
      <c r="AM78" s="535"/>
      <c r="AN78" s="29"/>
      <c r="AO78" s="29"/>
      <c r="AP78" s="29"/>
      <c r="AQ78" s="29"/>
      <c r="AR78" s="29"/>
      <c r="AS78" s="29"/>
      <c r="AT78" s="29"/>
    </row>
    <row r="79" spans="1:46" ht="16" thickBot="1">
      <c r="B79" s="801"/>
      <c r="C79" s="929" t="s">
        <v>258</v>
      </c>
      <c r="D79" s="929" t="s">
        <v>104</v>
      </c>
      <c r="E79" s="930" t="s">
        <v>105</v>
      </c>
      <c r="F79" s="948"/>
      <c r="G79" s="948"/>
      <c r="H79" s="535"/>
      <c r="R79" s="450"/>
      <c r="S79" s="929" t="s">
        <v>258</v>
      </c>
      <c r="T79" s="929" t="s">
        <v>104</v>
      </c>
      <c r="U79" s="930" t="s">
        <v>105</v>
      </c>
      <c r="V79" s="535"/>
      <c r="W79" s="535"/>
      <c r="X79" s="29"/>
      <c r="Y79" s="29"/>
      <c r="Z79" s="29"/>
      <c r="AA79" s="29"/>
      <c r="AB79" s="29"/>
      <c r="AC79" s="29"/>
      <c r="AD79" s="29"/>
      <c r="AE79" s="29"/>
      <c r="AF79" s="29"/>
      <c r="AG79" s="29"/>
      <c r="AH79" s="450"/>
      <c r="AI79" s="929" t="s">
        <v>258</v>
      </c>
      <c r="AJ79" s="929" t="s">
        <v>104</v>
      </c>
      <c r="AK79" s="930" t="s">
        <v>105</v>
      </c>
      <c r="AL79" s="535"/>
      <c r="AM79" s="535"/>
      <c r="AN79" s="29"/>
      <c r="AO79" s="29"/>
      <c r="AP79" s="29"/>
      <c r="AQ79" s="29"/>
      <c r="AR79" s="29"/>
      <c r="AS79" s="29"/>
      <c r="AT79" s="29"/>
    </row>
    <row r="80" spans="1:46">
      <c r="A80" s="1279" t="s">
        <v>2529</v>
      </c>
      <c r="B80" s="450"/>
      <c r="C80" s="556"/>
      <c r="D80" s="556"/>
      <c r="E80" s="453"/>
      <c r="F80" s="948"/>
      <c r="G80" s="948"/>
      <c r="H80" s="535"/>
      <c r="R80" s="450"/>
      <c r="S80" s="556"/>
      <c r="T80" s="556"/>
      <c r="U80" s="556"/>
      <c r="V80" s="535"/>
      <c r="W80" s="535"/>
      <c r="X80" s="29"/>
      <c r="Y80" s="29"/>
      <c r="Z80" s="29"/>
      <c r="AA80" s="29"/>
      <c r="AB80" s="29"/>
      <c r="AC80" s="29"/>
      <c r="AD80" s="29"/>
      <c r="AE80" s="29"/>
      <c r="AF80" s="29"/>
      <c r="AG80" s="29"/>
      <c r="AH80" s="450"/>
      <c r="AI80" s="556"/>
      <c r="AJ80" s="556"/>
      <c r="AK80" s="556"/>
      <c r="AL80" s="535"/>
      <c r="AM80" s="535"/>
      <c r="AN80" s="29"/>
      <c r="AO80" s="29"/>
      <c r="AP80" s="29"/>
      <c r="AQ80" s="29"/>
      <c r="AR80" s="29"/>
      <c r="AS80" s="29"/>
      <c r="AT80" s="29"/>
    </row>
    <row r="81" spans="1:46">
      <c r="A81" s="1280"/>
      <c r="B81" s="450"/>
      <c r="C81" s="175"/>
      <c r="D81" s="175"/>
      <c r="E81" s="324"/>
      <c r="F81" s="948"/>
      <c r="G81" s="948"/>
      <c r="H81" s="535"/>
      <c r="R81" s="450"/>
      <c r="S81" s="175"/>
      <c r="T81" s="175"/>
      <c r="U81" s="175"/>
      <c r="V81" s="535"/>
      <c r="W81" s="535"/>
      <c r="X81" s="29"/>
      <c r="Y81" s="29"/>
      <c r="Z81" s="29"/>
      <c r="AA81" s="29"/>
      <c r="AB81" s="29"/>
      <c r="AC81" s="29"/>
      <c r="AD81" s="29"/>
      <c r="AE81" s="29"/>
      <c r="AF81" s="29"/>
      <c r="AG81" s="29"/>
      <c r="AH81" s="450"/>
      <c r="AI81" s="175"/>
      <c r="AJ81" s="175"/>
      <c r="AK81" s="175"/>
      <c r="AL81" s="535"/>
      <c r="AM81" s="535"/>
      <c r="AN81" s="29"/>
      <c r="AO81" s="29"/>
      <c r="AP81" s="29"/>
      <c r="AQ81" s="29"/>
      <c r="AR81" s="29"/>
      <c r="AS81" s="29"/>
      <c r="AT81" s="29"/>
    </row>
    <row r="82" spans="1:46">
      <c r="A82" s="1280"/>
      <c r="B82" s="450"/>
      <c r="C82" s="175"/>
      <c r="D82" s="175"/>
      <c r="E82" s="324"/>
      <c r="F82" s="948"/>
      <c r="G82" s="948"/>
      <c r="H82" s="535"/>
      <c r="R82" s="450"/>
      <c r="S82" s="175"/>
      <c r="T82" s="175"/>
      <c r="U82" s="175"/>
      <c r="V82" s="535"/>
      <c r="W82" s="535"/>
      <c r="X82" s="29"/>
      <c r="Y82" s="29"/>
      <c r="Z82" s="29"/>
      <c r="AA82" s="29"/>
      <c r="AB82" s="29"/>
      <c r="AC82" s="29"/>
      <c r="AD82" s="29"/>
      <c r="AE82" s="29"/>
      <c r="AF82" s="29"/>
      <c r="AG82" s="29"/>
      <c r="AH82" s="450"/>
      <c r="AI82" s="175"/>
      <c r="AJ82" s="175"/>
      <c r="AK82" s="175"/>
      <c r="AL82" s="535"/>
      <c r="AM82" s="535"/>
      <c r="AN82" s="29"/>
      <c r="AO82" s="29"/>
      <c r="AP82" s="29"/>
      <c r="AQ82" s="29"/>
      <c r="AR82" s="29"/>
      <c r="AS82" s="29"/>
      <c r="AT82" s="29"/>
    </row>
    <row r="83" spans="1:46" ht="15" thickBot="1">
      <c r="A83" s="1281"/>
      <c r="B83" s="451"/>
      <c r="C83" s="557"/>
      <c r="D83" s="557"/>
      <c r="E83" s="449"/>
      <c r="F83" s="948"/>
      <c r="G83" s="948"/>
      <c r="H83" s="535"/>
      <c r="R83" s="450"/>
      <c r="S83" s="175"/>
      <c r="T83" s="175"/>
      <c r="U83" s="175"/>
      <c r="V83" s="535"/>
      <c r="W83" s="535"/>
      <c r="X83" s="29"/>
      <c r="Y83" s="29"/>
      <c r="Z83" s="29"/>
      <c r="AA83" s="29"/>
      <c r="AB83" s="29"/>
      <c r="AC83" s="29"/>
      <c r="AD83" s="29"/>
      <c r="AE83" s="29"/>
      <c r="AF83" s="29"/>
      <c r="AG83" s="29"/>
      <c r="AH83" s="450"/>
      <c r="AI83" s="175"/>
      <c r="AJ83" s="175"/>
      <c r="AK83" s="175"/>
      <c r="AL83" s="535"/>
      <c r="AM83" s="535"/>
      <c r="AN83" s="29"/>
      <c r="AO83" s="29"/>
      <c r="AP83" s="29"/>
      <c r="AQ83" s="29"/>
      <c r="AR83" s="29"/>
      <c r="AS83" s="29"/>
      <c r="AT83" s="29"/>
    </row>
    <row r="84" spans="1:46" ht="16" thickBot="1">
      <c r="B84" s="1258" t="s">
        <v>167</v>
      </c>
      <c r="C84" s="1259"/>
      <c r="D84" s="1259"/>
      <c r="E84" s="536"/>
      <c r="F84" s="29"/>
      <c r="G84" s="29"/>
      <c r="R84" s="1247" t="s">
        <v>167</v>
      </c>
      <c r="S84" s="1246"/>
      <c r="T84" s="1248"/>
      <c r="W84" s="29"/>
      <c r="X84" s="29"/>
      <c r="Y84" s="29"/>
      <c r="Z84" s="29"/>
      <c r="AA84" s="29"/>
      <c r="AB84" s="29"/>
      <c r="AC84" s="29"/>
      <c r="AD84" s="29"/>
      <c r="AE84" s="29"/>
      <c r="AF84" s="29"/>
      <c r="AG84" s="29"/>
      <c r="AH84" s="1247" t="s">
        <v>167</v>
      </c>
      <c r="AI84" s="1246"/>
      <c r="AJ84" s="1248"/>
      <c r="AK84" s="29"/>
      <c r="AL84" s="29"/>
      <c r="AM84" s="29"/>
      <c r="AN84" s="29"/>
      <c r="AO84" s="29"/>
      <c r="AP84" s="29"/>
      <c r="AQ84" s="29"/>
      <c r="AR84" s="29"/>
      <c r="AS84" s="29"/>
      <c r="AT84" s="29"/>
    </row>
    <row r="85" spans="1:46" ht="19" thickBot="1">
      <c r="B85" s="412"/>
      <c r="C85" s="890" t="s">
        <v>168</v>
      </c>
      <c r="D85" s="589" t="s">
        <v>169</v>
      </c>
      <c r="E85" s="29"/>
      <c r="F85" s="29"/>
      <c r="G85" s="29"/>
      <c r="R85" s="412"/>
      <c r="S85" s="581" t="s">
        <v>168</v>
      </c>
      <c r="T85" s="589" t="s">
        <v>169</v>
      </c>
      <c r="W85" s="29"/>
      <c r="X85" s="29"/>
      <c r="Y85" s="29"/>
      <c r="Z85" s="29"/>
      <c r="AA85" s="29"/>
      <c r="AB85" s="29"/>
      <c r="AC85" s="29"/>
      <c r="AD85" s="29"/>
      <c r="AE85" s="29"/>
      <c r="AF85" s="29"/>
      <c r="AG85" s="29"/>
      <c r="AH85" s="412"/>
      <c r="AI85" s="581" t="s">
        <v>168</v>
      </c>
      <c r="AJ85" s="589" t="s">
        <v>169</v>
      </c>
      <c r="AK85" s="29"/>
      <c r="AL85" s="29"/>
      <c r="AM85" s="29"/>
      <c r="AN85" s="29"/>
      <c r="AO85" s="29"/>
      <c r="AP85" s="29"/>
      <c r="AQ85" s="29"/>
      <c r="AR85" s="29"/>
      <c r="AS85" s="29"/>
      <c r="AT85" s="29"/>
    </row>
    <row r="86" spans="1:46" ht="14.5" customHeight="1">
      <c r="A86" s="1279" t="s">
        <v>350</v>
      </c>
      <c r="B86" s="560"/>
      <c r="C86" s="175"/>
      <c r="D86" s="573"/>
      <c r="E86" s="29"/>
      <c r="F86" s="535"/>
      <c r="G86" s="535"/>
      <c r="R86" s="560"/>
      <c r="S86" s="758"/>
      <c r="T86" s="573"/>
      <c r="U86" s="535"/>
      <c r="V86" s="535"/>
      <c r="W86" s="535"/>
      <c r="X86" s="29"/>
      <c r="Y86" s="29"/>
      <c r="Z86" s="29"/>
      <c r="AA86" s="29"/>
      <c r="AB86" s="29"/>
      <c r="AC86" s="29"/>
      <c r="AD86" s="29"/>
      <c r="AE86" s="29"/>
      <c r="AF86" s="29"/>
      <c r="AG86" s="29"/>
      <c r="AH86" s="560"/>
      <c r="AI86" s="758"/>
      <c r="AJ86" s="573"/>
      <c r="AK86" s="535"/>
      <c r="AL86" s="535"/>
      <c r="AM86" s="535"/>
      <c r="AN86" s="29"/>
      <c r="AO86" s="29"/>
      <c r="AP86" s="29"/>
      <c r="AQ86" s="29"/>
      <c r="AR86" s="29"/>
      <c r="AS86" s="29"/>
      <c r="AT86" s="29"/>
    </row>
    <row r="87" spans="1:46">
      <c r="A87" s="1280"/>
      <c r="B87" s="546"/>
      <c r="C87" s="175"/>
      <c r="D87" s="324"/>
      <c r="E87" s="1053"/>
      <c r="F87" s="535"/>
      <c r="G87" s="535"/>
      <c r="R87" s="546"/>
      <c r="S87" s="663"/>
      <c r="T87" s="324"/>
      <c r="U87" s="535"/>
      <c r="V87" s="535"/>
      <c r="W87" s="535"/>
      <c r="X87" s="29"/>
      <c r="Y87" s="29"/>
      <c r="Z87" s="29"/>
      <c r="AA87" s="29"/>
      <c r="AB87" s="29"/>
      <c r="AC87" s="29"/>
      <c r="AD87" s="29"/>
      <c r="AE87" s="29"/>
      <c r="AF87" s="29"/>
      <c r="AG87" s="29"/>
      <c r="AH87" s="546"/>
      <c r="AI87" s="663"/>
      <c r="AJ87" s="324"/>
      <c r="AK87" s="535"/>
      <c r="AL87" s="535"/>
      <c r="AM87" s="535"/>
      <c r="AN87" s="29"/>
      <c r="AO87" s="29"/>
      <c r="AP87" s="29"/>
      <c r="AQ87" s="29"/>
      <c r="AR87" s="29"/>
      <c r="AS87" s="29"/>
      <c r="AT87" s="29"/>
    </row>
    <row r="88" spans="1:46">
      <c r="A88" s="1280"/>
      <c r="B88" s="546"/>
      <c r="C88" s="175"/>
      <c r="D88" s="324"/>
      <c r="E88" s="1053"/>
      <c r="F88" s="535"/>
      <c r="G88" s="535"/>
      <c r="R88" s="546"/>
      <c r="S88" s="663"/>
      <c r="T88" s="324"/>
      <c r="U88" s="535"/>
      <c r="V88" s="535"/>
      <c r="W88" s="535"/>
      <c r="X88" s="29"/>
      <c r="Y88" s="29"/>
      <c r="Z88" s="29"/>
      <c r="AA88" s="29"/>
      <c r="AB88" s="29"/>
      <c r="AC88" s="29"/>
      <c r="AD88" s="29"/>
      <c r="AE88" s="29"/>
      <c r="AF88" s="29"/>
      <c r="AG88" s="29"/>
      <c r="AH88" s="546"/>
      <c r="AI88" s="663"/>
      <c r="AJ88" s="324"/>
      <c r="AK88" s="535"/>
      <c r="AL88" s="535"/>
      <c r="AM88" s="535"/>
      <c r="AN88" s="29"/>
      <c r="AO88" s="29"/>
      <c r="AP88" s="29"/>
      <c r="AQ88" s="29"/>
      <c r="AR88" s="29"/>
      <c r="AS88" s="29"/>
      <c r="AT88" s="29"/>
    </row>
    <row r="89" spans="1:46">
      <c r="A89" s="1280"/>
      <c r="B89" s="546"/>
      <c r="C89" s="175"/>
      <c r="D89" s="324"/>
      <c r="E89" s="1053"/>
      <c r="F89" s="535"/>
      <c r="G89" s="535"/>
      <c r="R89" s="546"/>
      <c r="S89" s="663"/>
      <c r="T89" s="324"/>
      <c r="U89" s="535"/>
      <c r="V89" s="535"/>
      <c r="W89" s="535"/>
      <c r="X89" s="29"/>
      <c r="Y89" s="29"/>
      <c r="Z89" s="29"/>
      <c r="AA89" s="29"/>
      <c r="AB89" s="29"/>
      <c r="AC89" s="29"/>
      <c r="AD89" s="29"/>
      <c r="AE89" s="29"/>
      <c r="AF89" s="29"/>
      <c r="AG89" s="29"/>
      <c r="AH89" s="546"/>
      <c r="AI89" s="663"/>
      <c r="AJ89" s="324"/>
      <c r="AK89" s="535"/>
      <c r="AL89" s="535"/>
      <c r="AM89" s="535"/>
      <c r="AN89" s="29"/>
      <c r="AO89" s="29"/>
      <c r="AP89" s="29"/>
      <c r="AQ89" s="29"/>
      <c r="AR89" s="29"/>
      <c r="AS89" s="29"/>
      <c r="AT89" s="29"/>
    </row>
    <row r="90" spans="1:46">
      <c r="A90" s="1280"/>
      <c r="B90" s="546"/>
      <c r="C90" s="175"/>
      <c r="D90" s="324"/>
      <c r="E90" s="1053"/>
      <c r="F90" s="535"/>
      <c r="G90" s="535"/>
      <c r="R90" s="546"/>
      <c r="S90" s="663"/>
      <c r="T90" s="324"/>
      <c r="U90" s="535"/>
      <c r="V90" s="535"/>
      <c r="W90" s="535"/>
      <c r="X90" s="29"/>
      <c r="Y90" s="29"/>
      <c r="Z90" s="29"/>
      <c r="AA90" s="29"/>
      <c r="AB90" s="29"/>
      <c r="AC90" s="29"/>
      <c r="AD90" s="29"/>
      <c r="AE90" s="29"/>
      <c r="AF90" s="29"/>
      <c r="AG90" s="29"/>
      <c r="AH90" s="546"/>
      <c r="AI90" s="663"/>
      <c r="AJ90" s="324"/>
      <c r="AK90" s="535"/>
      <c r="AL90" s="535"/>
      <c r="AM90" s="535"/>
      <c r="AN90" s="29"/>
      <c r="AO90" s="29"/>
      <c r="AP90" s="29"/>
      <c r="AQ90" s="29"/>
      <c r="AR90" s="29"/>
      <c r="AS90" s="29"/>
      <c r="AT90" s="29"/>
    </row>
    <row r="91" spans="1:46">
      <c r="A91" s="1280"/>
      <c r="B91" s="546"/>
      <c r="C91" s="175"/>
      <c r="D91" s="324"/>
      <c r="E91" s="1053"/>
      <c r="F91" s="535"/>
      <c r="G91" s="535"/>
      <c r="R91" s="546"/>
      <c r="S91" s="663"/>
      <c r="T91" s="324"/>
      <c r="U91" s="535"/>
      <c r="V91" s="535"/>
      <c r="W91" s="535"/>
      <c r="X91" s="29"/>
      <c r="Y91" s="29"/>
      <c r="Z91" s="29"/>
      <c r="AA91" s="29"/>
      <c r="AB91" s="29"/>
      <c r="AC91" s="29"/>
      <c r="AD91" s="29"/>
      <c r="AE91" s="29"/>
      <c r="AF91" s="29"/>
      <c r="AG91" s="29"/>
      <c r="AH91" s="546"/>
      <c r="AI91" s="663"/>
      <c r="AJ91" s="324"/>
      <c r="AK91" s="535"/>
      <c r="AL91" s="535"/>
      <c r="AM91" s="535"/>
      <c r="AN91" s="29"/>
      <c r="AO91" s="29"/>
      <c r="AP91" s="29"/>
      <c r="AQ91" s="29"/>
      <c r="AR91" s="29"/>
      <c r="AS91" s="29"/>
      <c r="AT91" s="29"/>
    </row>
    <row r="92" spans="1:46">
      <c r="A92" s="1280"/>
      <c r="B92" s="546"/>
      <c r="C92" s="175"/>
      <c r="D92" s="324"/>
      <c r="E92" s="1053"/>
      <c r="F92" s="535"/>
      <c r="G92" s="535"/>
      <c r="R92" s="546"/>
      <c r="S92" s="663"/>
      <c r="T92" s="324"/>
      <c r="U92" s="535"/>
      <c r="V92" s="535"/>
      <c r="W92" s="535"/>
      <c r="X92" s="29"/>
      <c r="Y92" s="29"/>
      <c r="Z92" s="29"/>
      <c r="AA92" s="29"/>
      <c r="AB92" s="29"/>
      <c r="AC92" s="29"/>
      <c r="AD92" s="29"/>
      <c r="AE92" s="29"/>
      <c r="AF92" s="29"/>
      <c r="AG92" s="29"/>
      <c r="AH92" s="546"/>
      <c r="AI92" s="663"/>
      <c r="AJ92" s="324"/>
      <c r="AK92" s="535"/>
      <c r="AL92" s="535"/>
      <c r="AM92" s="535"/>
      <c r="AN92" s="29"/>
      <c r="AO92" s="29"/>
      <c r="AP92" s="29"/>
      <c r="AQ92" s="29"/>
      <c r="AR92" s="29"/>
      <c r="AS92" s="29"/>
      <c r="AT92" s="29"/>
    </row>
    <row r="93" spans="1:46">
      <c r="A93" s="1280"/>
      <c r="B93" s="546"/>
      <c r="C93" s="175"/>
      <c r="D93" s="324"/>
      <c r="E93" s="1053"/>
      <c r="F93" s="535"/>
      <c r="G93" s="535"/>
      <c r="R93" s="546"/>
      <c r="S93" s="663"/>
      <c r="T93" s="324"/>
      <c r="U93" s="535"/>
      <c r="V93" s="535"/>
      <c r="W93" s="535"/>
      <c r="X93" s="29"/>
      <c r="Y93" s="29"/>
      <c r="Z93" s="29"/>
      <c r="AA93" s="29"/>
      <c r="AB93" s="29"/>
      <c r="AC93" s="29"/>
      <c r="AD93" s="29"/>
      <c r="AE93" s="29"/>
      <c r="AF93" s="29"/>
      <c r="AG93" s="29"/>
      <c r="AH93" s="546"/>
      <c r="AI93" s="663"/>
      <c r="AJ93" s="324"/>
      <c r="AK93" s="535"/>
      <c r="AL93" s="535"/>
      <c r="AM93" s="535"/>
      <c r="AN93" s="29"/>
      <c r="AO93" s="29"/>
      <c r="AP93" s="29"/>
      <c r="AQ93" s="29"/>
      <c r="AR93" s="29"/>
      <c r="AS93" s="29"/>
      <c r="AT93" s="29"/>
    </row>
    <row r="94" spans="1:46">
      <c r="A94" s="1280"/>
      <c r="B94" s="546"/>
      <c r="C94" s="175"/>
      <c r="D94" s="324"/>
      <c r="E94" s="1053"/>
      <c r="F94" s="535"/>
      <c r="G94" s="535"/>
      <c r="R94" s="546"/>
      <c r="S94" s="663"/>
      <c r="T94" s="324"/>
      <c r="U94" s="535"/>
      <c r="V94" s="535"/>
      <c r="W94" s="535"/>
      <c r="X94" s="29"/>
      <c r="Y94" s="29"/>
      <c r="Z94" s="29"/>
      <c r="AA94" s="29"/>
      <c r="AB94" s="29"/>
      <c r="AC94" s="29"/>
      <c r="AD94" s="29"/>
      <c r="AE94" s="29"/>
      <c r="AF94" s="29"/>
      <c r="AG94" s="29"/>
      <c r="AH94" s="546"/>
      <c r="AI94" s="663"/>
      <c r="AJ94" s="324"/>
      <c r="AK94" s="535"/>
      <c r="AL94" s="535"/>
      <c r="AM94" s="535"/>
      <c r="AN94" s="29"/>
      <c r="AO94" s="29"/>
      <c r="AP94" s="29"/>
      <c r="AQ94" s="29"/>
      <c r="AR94" s="29"/>
      <c r="AS94" s="29"/>
      <c r="AT94" s="29"/>
    </row>
    <row r="95" spans="1:46" ht="15" thickBot="1">
      <c r="A95" s="1281"/>
      <c r="B95" s="561"/>
      <c r="C95" s="175"/>
      <c r="D95" s="449"/>
      <c r="E95" s="608"/>
      <c r="F95" s="29"/>
      <c r="G95" s="29"/>
      <c r="R95" s="561"/>
      <c r="S95" s="750"/>
      <c r="T95" s="449"/>
      <c r="W95" s="29"/>
      <c r="X95" s="29"/>
      <c r="Y95" s="29"/>
      <c r="Z95" s="29"/>
      <c r="AA95" s="29"/>
      <c r="AB95" s="29"/>
      <c r="AC95" s="29"/>
      <c r="AD95" s="29"/>
      <c r="AE95" s="29"/>
      <c r="AF95" s="29"/>
      <c r="AG95" s="29"/>
      <c r="AH95" s="561"/>
      <c r="AI95" s="750"/>
      <c r="AJ95" s="449"/>
      <c r="AK95" s="29"/>
      <c r="AL95" s="29"/>
      <c r="AM95" s="29"/>
      <c r="AN95" s="29"/>
      <c r="AO95" s="29"/>
      <c r="AP95" s="29"/>
      <c r="AQ95" s="29"/>
      <c r="AR95" s="29"/>
      <c r="AS95" s="29"/>
      <c r="AT95" s="29"/>
    </row>
    <row r="96" spans="1:46" ht="16" thickBot="1">
      <c r="B96" s="1247" t="s">
        <v>265</v>
      </c>
      <c r="C96" s="1259"/>
      <c r="D96" s="1246"/>
      <c r="E96" s="536"/>
      <c r="F96" s="29"/>
      <c r="G96" s="29"/>
      <c r="R96" s="1247" t="s">
        <v>265</v>
      </c>
      <c r="S96" s="1246"/>
      <c r="T96" s="1248"/>
      <c r="W96" s="29"/>
      <c r="X96" s="29"/>
      <c r="Y96" s="29"/>
      <c r="Z96" s="29"/>
      <c r="AA96" s="29"/>
      <c r="AB96" s="29"/>
      <c r="AC96" s="29"/>
      <c r="AD96" s="29"/>
      <c r="AE96" s="29"/>
      <c r="AF96" s="29"/>
      <c r="AG96" s="29"/>
      <c r="AH96" s="1247" t="s">
        <v>265</v>
      </c>
      <c r="AI96" s="1246"/>
      <c r="AJ96" s="1248"/>
      <c r="AK96" s="29"/>
      <c r="AL96" s="29"/>
      <c r="AM96" s="29"/>
      <c r="AN96" s="29"/>
      <c r="AO96" s="29"/>
      <c r="AP96" s="29"/>
      <c r="AQ96" s="29"/>
      <c r="AR96" s="29"/>
      <c r="AS96" s="29"/>
      <c r="AT96" s="29"/>
    </row>
    <row r="97" spans="1:46" ht="15.5" thickBot="1">
      <c r="B97" s="455"/>
      <c r="C97" s="393" t="s">
        <v>172</v>
      </c>
      <c r="D97" s="454" t="s">
        <v>169</v>
      </c>
      <c r="E97" s="29"/>
      <c r="F97" s="29"/>
      <c r="G97" s="29"/>
      <c r="R97" s="455"/>
      <c r="S97" s="393" t="s">
        <v>172</v>
      </c>
      <c r="T97" s="454" t="s">
        <v>169</v>
      </c>
      <c r="W97" s="29"/>
      <c r="X97" s="29"/>
      <c r="Y97" s="29"/>
      <c r="Z97" s="29"/>
      <c r="AA97" s="29"/>
      <c r="AB97" s="29"/>
      <c r="AC97" s="29"/>
      <c r="AD97" s="29"/>
      <c r="AE97" s="29"/>
      <c r="AF97" s="29"/>
      <c r="AG97" s="29"/>
      <c r="AH97" s="455"/>
      <c r="AI97" s="393" t="s">
        <v>172</v>
      </c>
      <c r="AJ97" s="454" t="s">
        <v>169</v>
      </c>
      <c r="AK97" s="29"/>
      <c r="AL97" s="29"/>
      <c r="AM97" s="29"/>
      <c r="AN97" s="29"/>
      <c r="AO97" s="29"/>
      <c r="AP97" s="29"/>
      <c r="AQ97" s="29"/>
      <c r="AR97" s="29"/>
      <c r="AS97" s="29"/>
      <c r="AT97" s="29"/>
    </row>
    <row r="98" spans="1:46" ht="14.5" customHeight="1">
      <c r="A98" s="1279" t="s">
        <v>266</v>
      </c>
      <c r="B98" s="450"/>
      <c r="C98" s="759"/>
      <c r="D98" s="453"/>
      <c r="E98" s="29"/>
      <c r="F98" s="535"/>
      <c r="G98" s="535"/>
      <c r="R98" s="450"/>
      <c r="S98" s="759"/>
      <c r="T98" s="453"/>
      <c r="U98" s="535"/>
      <c r="V98" s="535"/>
      <c r="W98" s="535"/>
      <c r="X98" s="29"/>
      <c r="Y98" s="29"/>
      <c r="Z98" s="29"/>
      <c r="AA98" s="29"/>
      <c r="AB98" s="29"/>
      <c r="AC98" s="29"/>
      <c r="AD98" s="29"/>
      <c r="AE98" s="29"/>
      <c r="AF98" s="29"/>
      <c r="AG98" s="29"/>
      <c r="AH98" s="450"/>
      <c r="AI98" s="759"/>
      <c r="AJ98" s="453"/>
      <c r="AK98" s="535"/>
      <c r="AL98" s="535"/>
      <c r="AM98" s="535"/>
      <c r="AN98" s="29"/>
      <c r="AO98" s="29"/>
      <c r="AP98" s="29"/>
      <c r="AQ98" s="29"/>
      <c r="AR98" s="29"/>
      <c r="AS98" s="29"/>
      <c r="AT98" s="29"/>
    </row>
    <row r="99" spans="1:46">
      <c r="A99" s="1280"/>
      <c r="B99" s="450"/>
      <c r="C99" s="760"/>
      <c r="D99" s="324"/>
      <c r="E99" s="1053"/>
      <c r="F99" s="535"/>
      <c r="G99" s="535"/>
      <c r="R99" s="450"/>
      <c r="S99" s="760"/>
      <c r="T99" s="324"/>
      <c r="U99" s="535"/>
      <c r="V99" s="535"/>
      <c r="W99" s="535"/>
      <c r="X99" s="29"/>
      <c r="Y99" s="29"/>
      <c r="Z99" s="29"/>
      <c r="AA99" s="29"/>
      <c r="AB99" s="29"/>
      <c r="AC99" s="29"/>
      <c r="AD99" s="29"/>
      <c r="AE99" s="29"/>
      <c r="AF99" s="29"/>
      <c r="AG99" s="29"/>
      <c r="AH99" s="450"/>
      <c r="AI99" s="760"/>
      <c r="AJ99" s="324"/>
      <c r="AK99" s="535"/>
      <c r="AL99" s="535"/>
      <c r="AM99" s="535"/>
      <c r="AN99" s="29"/>
      <c r="AO99" s="29"/>
      <c r="AP99" s="29"/>
      <c r="AQ99" s="29"/>
      <c r="AR99" s="29"/>
      <c r="AS99" s="29"/>
      <c r="AT99" s="29"/>
    </row>
    <row r="100" spans="1:46">
      <c r="A100" s="1280"/>
      <c r="B100" s="450"/>
      <c r="C100" s="760"/>
      <c r="D100" s="324"/>
      <c r="E100" s="1053"/>
      <c r="F100" s="535"/>
      <c r="G100" s="535"/>
      <c r="R100" s="450"/>
      <c r="S100" s="760"/>
      <c r="T100" s="324"/>
      <c r="U100" s="535"/>
      <c r="V100" s="535"/>
      <c r="W100" s="535"/>
      <c r="X100" s="29"/>
      <c r="Y100" s="29"/>
      <c r="Z100" s="29"/>
      <c r="AA100" s="29"/>
      <c r="AB100" s="29"/>
      <c r="AC100" s="29"/>
      <c r="AD100" s="29"/>
      <c r="AE100" s="29"/>
      <c r="AF100" s="29"/>
      <c r="AG100" s="29"/>
      <c r="AH100" s="450"/>
      <c r="AI100" s="760"/>
      <c r="AJ100" s="324"/>
      <c r="AK100" s="535"/>
      <c r="AL100" s="535"/>
      <c r="AM100" s="535"/>
      <c r="AN100" s="29"/>
      <c r="AO100" s="29"/>
      <c r="AP100" s="29"/>
      <c r="AQ100" s="29"/>
      <c r="AR100" s="29"/>
      <c r="AS100" s="29"/>
      <c r="AT100" s="29"/>
    </row>
    <row r="101" spans="1:46">
      <c r="A101" s="1280"/>
      <c r="B101" s="450"/>
      <c r="C101" s="760"/>
      <c r="D101" s="324"/>
      <c r="E101" s="1053"/>
      <c r="F101" s="535"/>
      <c r="G101" s="535"/>
      <c r="R101" s="450"/>
      <c r="S101" s="760"/>
      <c r="T101" s="324"/>
      <c r="U101" s="535"/>
      <c r="V101" s="535"/>
      <c r="W101" s="535"/>
      <c r="X101" s="29"/>
      <c r="Y101" s="29"/>
      <c r="Z101" s="29"/>
      <c r="AA101" s="29"/>
      <c r="AB101" s="29"/>
      <c r="AC101" s="29"/>
      <c r="AD101" s="29"/>
      <c r="AE101" s="29"/>
      <c r="AF101" s="29"/>
      <c r="AG101" s="29"/>
      <c r="AH101" s="450"/>
      <c r="AI101" s="760"/>
      <c r="AJ101" s="324"/>
      <c r="AK101" s="535"/>
      <c r="AL101" s="535"/>
      <c r="AM101" s="535"/>
      <c r="AN101" s="29"/>
      <c r="AO101" s="29"/>
      <c r="AP101" s="29"/>
      <c r="AQ101" s="29"/>
      <c r="AR101" s="29"/>
      <c r="AS101" s="29"/>
      <c r="AT101" s="29"/>
    </row>
    <row r="102" spans="1:46">
      <c r="A102" s="1280"/>
      <c r="B102" s="450"/>
      <c r="C102" s="760"/>
      <c r="D102" s="324"/>
      <c r="E102" s="1053"/>
      <c r="F102" s="535"/>
      <c r="G102" s="535"/>
      <c r="R102" s="450"/>
      <c r="S102" s="760"/>
      <c r="T102" s="324"/>
      <c r="U102" s="535"/>
      <c r="V102" s="535"/>
      <c r="W102" s="535"/>
      <c r="X102" s="29"/>
      <c r="Y102" s="29"/>
      <c r="Z102" s="29"/>
      <c r="AA102" s="29"/>
      <c r="AB102" s="29"/>
      <c r="AC102" s="29"/>
      <c r="AD102" s="29"/>
      <c r="AE102" s="29"/>
      <c r="AF102" s="29"/>
      <c r="AG102" s="29"/>
      <c r="AH102" s="450"/>
      <c r="AI102" s="760"/>
      <c r="AJ102" s="324"/>
      <c r="AK102" s="535"/>
      <c r="AL102" s="535"/>
      <c r="AM102" s="535"/>
      <c r="AN102" s="29"/>
      <c r="AO102" s="29"/>
      <c r="AP102" s="29"/>
      <c r="AQ102" s="29"/>
      <c r="AR102" s="29"/>
      <c r="AS102" s="29"/>
      <c r="AT102" s="29"/>
    </row>
    <row r="103" spans="1:46">
      <c r="A103" s="1280"/>
      <c r="B103" s="450"/>
      <c r="C103" s="760"/>
      <c r="D103" s="324"/>
      <c r="E103" s="1053"/>
      <c r="F103" s="535"/>
      <c r="G103" s="535"/>
      <c r="R103" s="450"/>
      <c r="S103" s="760"/>
      <c r="T103" s="324"/>
      <c r="U103" s="535"/>
      <c r="V103" s="535"/>
      <c r="W103" s="535"/>
      <c r="X103" s="29"/>
      <c r="Y103" s="29"/>
      <c r="Z103" s="29"/>
      <c r="AA103" s="29"/>
      <c r="AB103" s="29"/>
      <c r="AC103" s="29"/>
      <c r="AD103" s="29"/>
      <c r="AE103" s="29"/>
      <c r="AF103" s="29"/>
      <c r="AG103" s="29"/>
      <c r="AH103" s="450"/>
      <c r="AI103" s="760"/>
      <c r="AJ103" s="324"/>
      <c r="AK103" s="535"/>
      <c r="AL103" s="535"/>
      <c r="AM103" s="535"/>
      <c r="AN103" s="29"/>
      <c r="AO103" s="29"/>
      <c r="AP103" s="29"/>
      <c r="AQ103" s="29"/>
      <c r="AR103" s="29"/>
      <c r="AS103" s="29"/>
      <c r="AT103" s="29"/>
    </row>
    <row r="104" spans="1:46">
      <c r="A104" s="1280"/>
      <c r="B104" s="450"/>
      <c r="C104" s="760"/>
      <c r="D104" s="324"/>
      <c r="E104" s="1053"/>
      <c r="F104" s="535"/>
      <c r="G104" s="535"/>
      <c r="R104" s="450"/>
      <c r="S104" s="760"/>
      <c r="T104" s="324"/>
      <c r="U104" s="535"/>
      <c r="V104" s="535"/>
      <c r="W104" s="535"/>
      <c r="X104" s="29"/>
      <c r="Y104" s="29"/>
      <c r="Z104" s="29"/>
      <c r="AA104" s="29"/>
      <c r="AB104" s="29"/>
      <c r="AC104" s="29"/>
      <c r="AD104" s="29"/>
      <c r="AE104" s="29"/>
      <c r="AF104" s="29"/>
      <c r="AG104" s="29"/>
      <c r="AH104" s="450"/>
      <c r="AI104" s="760"/>
      <c r="AJ104" s="324"/>
      <c r="AK104" s="535"/>
      <c r="AL104" s="535"/>
      <c r="AM104" s="535"/>
      <c r="AN104" s="29"/>
      <c r="AO104" s="29"/>
      <c r="AP104" s="29"/>
      <c r="AQ104" s="29"/>
      <c r="AR104" s="29"/>
      <c r="AS104" s="29"/>
      <c r="AT104" s="29"/>
    </row>
    <row r="105" spans="1:46">
      <c r="A105" s="1280"/>
      <c r="B105" s="450"/>
      <c r="C105" s="760"/>
      <c r="D105" s="324"/>
      <c r="E105" s="1053"/>
      <c r="F105" s="535"/>
      <c r="G105" s="535"/>
      <c r="R105" s="450"/>
      <c r="S105" s="760"/>
      <c r="T105" s="324"/>
      <c r="U105" s="535"/>
      <c r="V105" s="535"/>
      <c r="W105" s="535"/>
      <c r="X105" s="29"/>
      <c r="Y105" s="29"/>
      <c r="Z105" s="29"/>
      <c r="AA105" s="29"/>
      <c r="AB105" s="29"/>
      <c r="AC105" s="29"/>
      <c r="AD105" s="29"/>
      <c r="AE105" s="29"/>
      <c r="AF105" s="29"/>
      <c r="AG105" s="29"/>
      <c r="AH105" s="450"/>
      <c r="AI105" s="760"/>
      <c r="AJ105" s="324"/>
      <c r="AK105" s="535"/>
      <c r="AL105" s="535"/>
      <c r="AM105" s="535"/>
      <c r="AN105" s="29"/>
      <c r="AO105" s="29"/>
      <c r="AP105" s="29"/>
      <c r="AQ105" s="29"/>
      <c r="AR105" s="29"/>
      <c r="AS105" s="29"/>
      <c r="AT105" s="29"/>
    </row>
    <row r="106" spans="1:46" ht="15" thickBot="1">
      <c r="A106" s="1281"/>
      <c r="B106" s="451"/>
      <c r="C106" s="761"/>
      <c r="D106" s="449"/>
      <c r="E106" s="1053"/>
      <c r="F106" s="535"/>
      <c r="G106" s="535"/>
      <c r="R106" s="451"/>
      <c r="S106" s="761"/>
      <c r="T106" s="449"/>
      <c r="U106" s="535"/>
      <c r="V106" s="535"/>
      <c r="W106" s="535"/>
      <c r="X106" s="29"/>
      <c r="Y106" s="29"/>
      <c r="Z106" s="29"/>
      <c r="AA106" s="29"/>
      <c r="AB106" s="29"/>
      <c r="AC106" s="29"/>
      <c r="AD106" s="29"/>
      <c r="AE106" s="29"/>
      <c r="AF106" s="29"/>
      <c r="AG106" s="29"/>
      <c r="AH106" s="451"/>
      <c r="AI106" s="761"/>
      <c r="AJ106" s="449"/>
      <c r="AK106" s="535"/>
      <c r="AL106" s="535"/>
      <c r="AM106" s="535"/>
      <c r="AN106" s="29"/>
      <c r="AO106" s="29"/>
      <c r="AP106" s="29"/>
      <c r="AQ106" s="29"/>
      <c r="AR106" s="29"/>
      <c r="AS106" s="29"/>
      <c r="AT106" s="29"/>
    </row>
    <row r="107" spans="1:46" ht="15" thickBot="1">
      <c r="B107" s="181"/>
      <c r="C107" s="64"/>
      <c r="D107" s="158"/>
      <c r="E107" s="947"/>
      <c r="F107" s="948"/>
      <c r="G107" s="948"/>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row>
    <row r="108" spans="1:46" ht="24" thickBot="1">
      <c r="B108" s="1255" t="s">
        <v>180</v>
      </c>
      <c r="C108" s="1256"/>
      <c r="D108" s="1256"/>
      <c r="E108" s="536"/>
      <c r="F108" s="29"/>
      <c r="G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row>
    <row r="109" spans="1:46" ht="15" thickBot="1">
      <c r="E109" s="536"/>
      <c r="F109" s="29"/>
      <c r="G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row>
    <row r="110" spans="1:46" ht="19" thickBot="1">
      <c r="B110" s="956"/>
      <c r="C110" s="959" t="s">
        <v>269</v>
      </c>
      <c r="D110" s="958" t="s">
        <v>270</v>
      </c>
      <c r="E110" s="957" t="s">
        <v>271</v>
      </c>
      <c r="F110" s="29"/>
      <c r="G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row>
    <row r="111" spans="1:46" ht="16" thickBot="1">
      <c r="A111" s="1028" t="s">
        <v>272</v>
      </c>
      <c r="B111" s="962" t="s">
        <v>207</v>
      </c>
      <c r="C111" s="943"/>
      <c r="D111" s="943"/>
      <c r="E111" s="960"/>
      <c r="F111" s="29"/>
      <c r="G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row>
    <row r="112" spans="1:46" ht="44" thickBot="1">
      <c r="A112" s="1028" t="s">
        <v>2521</v>
      </c>
      <c r="B112" s="962" t="s">
        <v>276</v>
      </c>
      <c r="C112" s="899"/>
      <c r="D112" s="899"/>
      <c r="E112" s="324"/>
      <c r="F112" s="29"/>
      <c r="G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row>
    <row r="113" spans="1:46" ht="99" customHeight="1" thickBot="1">
      <c r="A113" s="1028" t="s">
        <v>2525</v>
      </c>
      <c r="B113" s="962" t="s">
        <v>2505</v>
      </c>
      <c r="C113" s="899"/>
      <c r="D113" s="899"/>
      <c r="E113" s="324"/>
      <c r="F113" s="29"/>
      <c r="G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row>
    <row r="114" spans="1:46" ht="58.5" thickBot="1">
      <c r="A114" s="1029" t="s">
        <v>277</v>
      </c>
      <c r="B114" s="1025" t="s">
        <v>213</v>
      </c>
      <c r="C114" s="175"/>
      <c r="D114" s="175"/>
      <c r="E114" s="324"/>
      <c r="F114" s="29"/>
      <c r="G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row>
    <row r="115" spans="1:46" ht="50.15" customHeight="1" thickBot="1">
      <c r="A115" s="1028" t="s">
        <v>278</v>
      </c>
      <c r="B115" s="1025" t="s">
        <v>209</v>
      </c>
      <c r="C115" s="175"/>
      <c r="D115" s="175"/>
      <c r="E115" s="324"/>
      <c r="F115" s="29"/>
      <c r="G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row>
    <row r="116" spans="1:46" ht="15.5">
      <c r="A116" s="1277" t="s">
        <v>215</v>
      </c>
      <c r="B116" s="962" t="s">
        <v>216</v>
      </c>
      <c r="C116" s="175"/>
      <c r="D116" s="175"/>
      <c r="E116" s="324"/>
      <c r="F116" s="29"/>
      <c r="G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row>
    <row r="117" spans="1:46" ht="16" thickBot="1">
      <c r="A117" s="1278"/>
      <c r="B117" s="961" t="s">
        <v>217</v>
      </c>
      <c r="C117" s="175"/>
      <c r="D117" s="175"/>
      <c r="E117" s="324"/>
      <c r="F117" s="29"/>
      <c r="G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row>
    <row r="118" spans="1:46" ht="16" thickBot="1">
      <c r="A118" s="1029" t="s">
        <v>203</v>
      </c>
      <c r="B118" s="962" t="s">
        <v>279</v>
      </c>
      <c r="C118" s="175"/>
      <c r="D118" s="175"/>
      <c r="E118" s="324"/>
      <c r="F118" s="29"/>
      <c r="G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row>
    <row r="119" spans="1:46" ht="16" thickBot="1">
      <c r="A119" s="1026" t="s">
        <v>200</v>
      </c>
      <c r="B119" s="963" t="s">
        <v>201</v>
      </c>
      <c r="C119" s="557"/>
      <c r="D119" s="557"/>
      <c r="E119" s="557"/>
      <c r="F119" s="29"/>
      <c r="G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row>
    <row r="120" spans="1:46" ht="15" thickBot="1">
      <c r="A120" s="397"/>
      <c r="C120" s="64"/>
      <c r="D120" s="64"/>
      <c r="E120" s="29"/>
      <c r="F120" s="29"/>
      <c r="G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row>
    <row r="121" spans="1:46" ht="19" thickBot="1">
      <c r="B121" s="692" t="s">
        <v>222</v>
      </c>
      <c r="C121" s="695" t="s">
        <v>19</v>
      </c>
      <c r="D121" s="696" t="s">
        <v>20</v>
      </c>
      <c r="E121" s="29"/>
      <c r="F121" s="29"/>
      <c r="G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row>
    <row r="122" spans="1:46" ht="35.5" customHeight="1" thickBot="1">
      <c r="A122" s="1028" t="s">
        <v>227</v>
      </c>
      <c r="B122" s="874" t="s">
        <v>228</v>
      </c>
      <c r="C122" s="326" t="s">
        <v>135</v>
      </c>
      <c r="D122" s="423"/>
      <c r="E122" s="1056"/>
      <c r="F122" s="1055"/>
      <c r="G122" s="1055"/>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row>
    <row r="123" spans="1:46" ht="116.5" customHeight="1" thickBot="1">
      <c r="A123" s="1028" t="s">
        <v>2522</v>
      </c>
      <c r="B123" s="331" t="s">
        <v>229</v>
      </c>
      <c r="C123" s="326" t="s">
        <v>135</v>
      </c>
      <c r="D123" s="423"/>
      <c r="E123" s="29"/>
      <c r="F123" s="1055"/>
      <c r="G123" s="1055"/>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row>
    <row r="124" spans="1:46" ht="29.15" customHeight="1">
      <c r="A124" s="1279" t="s">
        <v>281</v>
      </c>
      <c r="B124" s="331" t="s">
        <v>231</v>
      </c>
      <c r="C124" s="676"/>
      <c r="D124" s="424"/>
      <c r="E124" s="29"/>
      <c r="F124" s="535"/>
      <c r="G124" s="535"/>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row>
    <row r="125" spans="1:46" ht="29.15" customHeight="1">
      <c r="A125" s="1280"/>
      <c r="B125" s="331" t="s">
        <v>232</v>
      </c>
      <c r="C125" s="676"/>
      <c r="D125" s="424"/>
      <c r="E125" s="1053"/>
      <c r="F125" s="535"/>
      <c r="G125" s="535"/>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row>
    <row r="126" spans="1:46" ht="29.15" customHeight="1" thickBot="1">
      <c r="A126" s="1281"/>
      <c r="B126" s="331" t="s">
        <v>233</v>
      </c>
      <c r="C126" s="676"/>
      <c r="D126" s="424"/>
      <c r="E126" s="1053"/>
      <c r="F126" s="535"/>
      <c r="G126" s="535"/>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row>
    <row r="127" spans="1:46" ht="29.15" customHeight="1">
      <c r="A127" s="1279" t="s">
        <v>2526</v>
      </c>
      <c r="B127" s="331" t="s">
        <v>234</v>
      </c>
      <c r="C127" s="676"/>
      <c r="D127" s="424"/>
      <c r="E127" s="608"/>
      <c r="F127" s="535"/>
      <c r="G127" s="535"/>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row>
    <row r="128" spans="1:46" ht="23.15" customHeight="1" thickBot="1">
      <c r="A128" s="1281"/>
      <c r="B128" s="331" t="s">
        <v>235</v>
      </c>
      <c r="C128" s="676"/>
      <c r="D128" s="424"/>
      <c r="E128" s="1053"/>
      <c r="F128" s="535"/>
      <c r="G128" s="535"/>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row>
    <row r="129" spans="1:46" ht="29.25" customHeight="1" thickBot="1">
      <c r="A129" s="1028" t="s">
        <v>236</v>
      </c>
      <c r="B129" s="331" t="s">
        <v>237</v>
      </c>
      <c r="C129" s="326" t="s">
        <v>238</v>
      </c>
      <c r="D129" s="424"/>
      <c r="E129" s="608"/>
      <c r="F129" s="535"/>
      <c r="G129" s="535"/>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row>
    <row r="130" spans="1:46" ht="18" customHeight="1">
      <c r="A130" s="1279" t="s">
        <v>2527</v>
      </c>
      <c r="B130" s="331" t="s">
        <v>240</v>
      </c>
      <c r="C130" s="676"/>
      <c r="D130" s="424"/>
      <c r="E130" s="29"/>
      <c r="F130" s="535"/>
      <c r="G130" s="535"/>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row>
    <row r="131" spans="1:46" ht="20.9" customHeight="1">
      <c r="A131" s="1280"/>
      <c r="B131" s="331" t="s">
        <v>243</v>
      </c>
      <c r="C131" s="676"/>
      <c r="D131" s="424"/>
      <c r="E131" s="1053"/>
      <c r="F131" s="535"/>
      <c r="G131" s="535"/>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row>
    <row r="132" spans="1:46" ht="18" customHeight="1" thickBot="1">
      <c r="A132" s="1281"/>
      <c r="B132" s="566" t="s">
        <v>244</v>
      </c>
      <c r="C132" s="677"/>
      <c r="D132" s="567"/>
      <c r="E132" s="535"/>
      <c r="F132" s="29"/>
      <c r="G132" s="535"/>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row>
    <row r="133" spans="1:46" ht="23.15" customHeight="1" thickBot="1">
      <c r="A133" s="1279" t="s">
        <v>2524</v>
      </c>
      <c r="B133" s="427" t="s">
        <v>245</v>
      </c>
      <c r="C133" s="340" t="s">
        <v>246</v>
      </c>
      <c r="D133" s="428" t="s">
        <v>104</v>
      </c>
      <c r="E133" s="29"/>
      <c r="F133" s="29"/>
      <c r="G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row>
    <row r="134" spans="1:46" ht="14.5" customHeight="1">
      <c r="A134" s="1280"/>
      <c r="B134" s="720"/>
      <c r="C134" s="681"/>
      <c r="D134" s="413"/>
      <c r="E134" s="29"/>
      <c r="F134" s="535"/>
      <c r="G134" s="535"/>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row>
    <row r="135" spans="1:46" ht="19.399999999999999" customHeight="1">
      <c r="A135" s="1280"/>
      <c r="B135" s="720"/>
      <c r="C135" s="676"/>
      <c r="D135" s="367"/>
      <c r="E135" s="1053"/>
      <c r="F135" s="535"/>
      <c r="G135" s="535"/>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row>
    <row r="136" spans="1:46" ht="19.399999999999999" customHeight="1">
      <c r="A136" s="1280"/>
      <c r="B136" s="720"/>
      <c r="C136" s="676"/>
      <c r="D136" s="367"/>
      <c r="E136" s="1053"/>
      <c r="F136" s="535"/>
      <c r="G136" s="535"/>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row>
    <row r="137" spans="1:46" ht="19.399999999999999" customHeight="1">
      <c r="A137" s="1280"/>
      <c r="B137" s="720"/>
      <c r="C137" s="676"/>
      <c r="D137" s="367"/>
      <c r="E137" s="1053"/>
      <c r="F137" s="535"/>
      <c r="G137" s="535"/>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row>
    <row r="138" spans="1:46" ht="19.399999999999999" customHeight="1">
      <c r="A138" s="1280"/>
      <c r="B138" s="720"/>
      <c r="C138" s="676"/>
      <c r="D138" s="367"/>
      <c r="E138" s="1053"/>
      <c r="F138" s="535"/>
      <c r="G138" s="535"/>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row>
    <row r="139" spans="1:46" ht="19.399999999999999" customHeight="1">
      <c r="A139" s="1280"/>
      <c r="B139" s="720"/>
      <c r="C139" s="676"/>
      <c r="D139" s="367"/>
      <c r="E139" s="1053"/>
      <c r="F139" s="535"/>
      <c r="G139" s="535"/>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row>
    <row r="140" spans="1:46" ht="19.399999999999999" customHeight="1">
      <c r="A140" s="1280"/>
      <c r="B140" s="720"/>
      <c r="C140" s="676"/>
      <c r="D140" s="367"/>
      <c r="E140" s="1053"/>
      <c r="F140" s="535"/>
      <c r="G140" s="535"/>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row>
    <row r="141" spans="1:46" ht="19.399999999999999" customHeight="1">
      <c r="A141" s="1280"/>
      <c r="B141" s="720"/>
      <c r="C141" s="676"/>
      <c r="D141" s="367"/>
      <c r="E141" s="1053"/>
      <c r="F141" s="535"/>
      <c r="G141" s="535"/>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row>
    <row r="142" spans="1:46" ht="19.399999999999999" customHeight="1">
      <c r="A142" s="1280"/>
      <c r="B142" s="720"/>
      <c r="C142" s="676"/>
      <c r="D142" s="367"/>
      <c r="E142" s="1053"/>
      <c r="F142" s="535"/>
      <c r="G142" s="535"/>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row>
    <row r="143" spans="1:46" ht="19.399999999999999" customHeight="1">
      <c r="A143" s="1280"/>
      <c r="B143" s="720"/>
      <c r="C143" s="676"/>
      <c r="D143" s="367"/>
      <c r="E143" s="1053"/>
      <c r="F143" s="535"/>
      <c r="G143" s="535"/>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row>
    <row r="144" spans="1:46" ht="19.399999999999999" customHeight="1">
      <c r="A144" s="1280"/>
      <c r="B144" s="720"/>
      <c r="C144" s="676"/>
      <c r="D144" s="367"/>
      <c r="E144" s="1053"/>
      <c r="F144" s="535"/>
      <c r="G144" s="535"/>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row>
    <row r="145" spans="1:46" ht="19.399999999999999" customHeight="1">
      <c r="A145" s="1280"/>
      <c r="B145" s="720"/>
      <c r="C145" s="676"/>
      <c r="D145" s="367"/>
      <c r="E145" s="1053"/>
      <c r="F145" s="535"/>
      <c r="G145" s="535"/>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row>
    <row r="146" spans="1:46" ht="19.399999999999999" customHeight="1">
      <c r="A146" s="1280"/>
      <c r="B146" s="720"/>
      <c r="C146" s="676"/>
      <c r="D146" s="367"/>
      <c r="E146" s="1053"/>
      <c r="F146" s="535"/>
      <c r="G146" s="535"/>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row>
    <row r="147" spans="1:46" ht="19.399999999999999" customHeight="1">
      <c r="A147" s="1280"/>
      <c r="B147" s="720"/>
      <c r="C147" s="676"/>
      <c r="D147" s="367"/>
      <c r="E147" s="1053"/>
      <c r="F147" s="535"/>
      <c r="G147" s="535"/>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row>
    <row r="148" spans="1:46" ht="19.399999999999999" customHeight="1" thickBot="1">
      <c r="A148" s="1281"/>
      <c r="B148" s="720"/>
      <c r="C148" s="755"/>
      <c r="D148" s="432"/>
      <c r="E148" s="1053"/>
      <c r="F148" s="535"/>
      <c r="G148" s="535"/>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row>
    <row r="149" spans="1:46" ht="19.399999999999999" customHeight="1" thickBot="1">
      <c r="B149" s="427"/>
      <c r="C149" s="340" t="s">
        <v>255</v>
      </c>
      <c r="D149" s="428" t="s">
        <v>104</v>
      </c>
      <c r="E149" s="608"/>
      <c r="F149" s="29"/>
      <c r="G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row>
    <row r="150" spans="1:46" ht="22.4" customHeight="1">
      <c r="A150" s="1279" t="s">
        <v>2528</v>
      </c>
      <c r="B150" s="450"/>
      <c r="C150" s="759"/>
      <c r="D150" s="453"/>
      <c r="E150" s="29"/>
      <c r="F150" s="535"/>
      <c r="G150" s="535"/>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row>
    <row r="151" spans="1:46" ht="22.4" customHeight="1">
      <c r="A151" s="1280"/>
      <c r="B151" s="450"/>
      <c r="C151" s="759"/>
      <c r="D151" s="324"/>
      <c r="E151" s="1053"/>
      <c r="F151" s="535"/>
      <c r="G151" s="535"/>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row>
    <row r="152" spans="1:46" ht="22.4" customHeight="1">
      <c r="A152" s="1280"/>
      <c r="B152" s="450"/>
      <c r="C152" s="759"/>
      <c r="D152" s="324"/>
      <c r="E152" s="1053"/>
      <c r="F152" s="535"/>
      <c r="G152" s="535"/>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row>
    <row r="153" spans="1:46" ht="22.4" customHeight="1">
      <c r="A153" s="1280"/>
      <c r="B153" s="450"/>
      <c r="C153" s="759"/>
      <c r="D153" s="324"/>
      <c r="E153" s="1053"/>
      <c r="F153" s="535"/>
      <c r="G153" s="535"/>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row>
    <row r="154" spans="1:46" ht="22.4" customHeight="1">
      <c r="A154" s="1280"/>
      <c r="B154" s="450"/>
      <c r="C154" s="759"/>
      <c r="D154" s="324"/>
      <c r="E154" s="1053"/>
      <c r="F154" s="535"/>
      <c r="G154" s="535"/>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row>
    <row r="155" spans="1:46" ht="22.4" customHeight="1">
      <c r="A155" s="1280"/>
      <c r="B155" s="450"/>
      <c r="C155" s="759"/>
      <c r="D155" s="324"/>
      <c r="E155" s="1053"/>
      <c r="F155" s="535"/>
      <c r="G155" s="535"/>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row>
    <row r="156" spans="1:46" ht="22.4" customHeight="1">
      <c r="A156" s="1280"/>
      <c r="B156" s="450"/>
      <c r="C156" s="759"/>
      <c r="D156" s="324"/>
      <c r="E156" s="1053"/>
      <c r="F156" s="535"/>
      <c r="G156" s="535"/>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row>
    <row r="157" spans="1:46" ht="22.4" customHeight="1">
      <c r="A157" s="1280"/>
      <c r="B157" s="450"/>
      <c r="C157" s="759"/>
      <c r="D157" s="324"/>
      <c r="E157" s="1053"/>
      <c r="F157" s="535"/>
      <c r="G157" s="535"/>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row>
    <row r="158" spans="1:46" ht="22.4" customHeight="1" thickBot="1">
      <c r="A158" s="1281"/>
      <c r="B158" s="450"/>
      <c r="C158" s="759"/>
      <c r="D158" s="543"/>
      <c r="E158" s="1054"/>
      <c r="F158" s="535"/>
      <c r="G158" s="535"/>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row>
    <row r="159" spans="1:46" ht="16" thickBot="1">
      <c r="B159" s="392"/>
      <c r="C159" s="393" t="s">
        <v>256</v>
      </c>
      <c r="D159" s="454" t="s">
        <v>104</v>
      </c>
      <c r="E159" s="901" t="s">
        <v>88</v>
      </c>
      <c r="F159" s="29"/>
      <c r="G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row>
    <row r="160" spans="1:46" ht="20.9" customHeight="1">
      <c r="A160" s="1279" t="s">
        <v>2570</v>
      </c>
      <c r="B160" s="450"/>
      <c r="C160" s="556"/>
      <c r="D160" s="413"/>
      <c r="E160" s="175"/>
      <c r="F160" s="29"/>
      <c r="G160" s="535"/>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row>
    <row r="161" spans="1:46" ht="20.9" customHeight="1">
      <c r="A161" s="1280"/>
      <c r="B161" s="450"/>
      <c r="C161" s="556"/>
      <c r="D161" s="367"/>
      <c r="E161" s="899"/>
      <c r="F161" s="1057"/>
      <c r="G161" s="535"/>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row>
    <row r="162" spans="1:46" ht="20.9" customHeight="1">
      <c r="A162" s="1280"/>
      <c r="B162" s="450"/>
      <c r="C162" s="556"/>
      <c r="D162" s="367"/>
      <c r="E162" s="899"/>
      <c r="F162" s="1057"/>
      <c r="G162" s="535"/>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row>
    <row r="163" spans="1:46" ht="20.9" customHeight="1">
      <c r="A163" s="1280"/>
      <c r="B163" s="450"/>
      <c r="C163" s="556"/>
      <c r="D163" s="367"/>
      <c r="E163" s="899"/>
      <c r="F163" s="1057"/>
      <c r="G163" s="535"/>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row>
    <row r="164" spans="1:46" ht="20.9" customHeight="1">
      <c r="A164" s="1280"/>
      <c r="B164" s="450"/>
      <c r="C164" s="556"/>
      <c r="D164" s="367"/>
      <c r="E164" s="899"/>
      <c r="F164" s="1057"/>
      <c r="G164" s="535"/>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row>
    <row r="165" spans="1:46" ht="20.9" customHeight="1">
      <c r="A165" s="1280"/>
      <c r="B165" s="450"/>
      <c r="C165" s="556"/>
      <c r="D165" s="367"/>
      <c r="E165" s="899"/>
      <c r="F165" s="1057"/>
      <c r="G165" s="535"/>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row>
    <row r="166" spans="1:46" ht="20.9" customHeight="1">
      <c r="A166" s="1280"/>
      <c r="B166" s="450"/>
      <c r="C166" s="556"/>
      <c r="D166" s="367"/>
      <c r="E166" s="899"/>
      <c r="F166" s="1057"/>
      <c r="G166" s="535"/>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row>
    <row r="167" spans="1:46" ht="20.9" customHeight="1">
      <c r="A167" s="1280"/>
      <c r="B167" s="450"/>
      <c r="C167" s="556"/>
      <c r="D167" s="367"/>
      <c r="E167" s="899"/>
      <c r="F167" s="1057"/>
      <c r="G167" s="535"/>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row>
    <row r="168" spans="1:46" ht="20.9" customHeight="1">
      <c r="A168" s="1280"/>
      <c r="B168" s="450"/>
      <c r="C168" s="556"/>
      <c r="D168" s="367"/>
      <c r="E168" s="899"/>
      <c r="F168" s="1057"/>
      <c r="G168" s="535"/>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row>
    <row r="169" spans="1:46" ht="20.9" customHeight="1">
      <c r="A169" s="1280"/>
      <c r="B169" s="450"/>
      <c r="C169" s="556"/>
      <c r="D169" s="367"/>
      <c r="E169" s="899"/>
      <c r="F169" s="1057"/>
      <c r="G169" s="535"/>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row>
    <row r="170" spans="1:46" ht="20.9" customHeight="1">
      <c r="A170" s="1280"/>
      <c r="B170" s="450"/>
      <c r="C170" s="556"/>
      <c r="D170" s="367"/>
      <c r="E170" s="899"/>
      <c r="F170" s="1057"/>
      <c r="G170" s="535"/>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row>
    <row r="171" spans="1:46" ht="20.9" customHeight="1">
      <c r="A171" s="1280"/>
      <c r="B171" s="450"/>
      <c r="C171" s="556"/>
      <c r="D171" s="367"/>
      <c r="E171" s="899"/>
      <c r="F171" s="1057"/>
      <c r="G171" s="535"/>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row>
    <row r="172" spans="1:46" ht="20.9" customHeight="1">
      <c r="A172" s="1280"/>
      <c r="B172" s="450"/>
      <c r="C172" s="556"/>
      <c r="D172" s="367"/>
      <c r="E172" s="899"/>
      <c r="F172" s="1057"/>
      <c r="G172" s="535"/>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row>
    <row r="173" spans="1:46" ht="20.9" customHeight="1" thickBot="1">
      <c r="A173" s="1281"/>
      <c r="B173" s="450"/>
      <c r="C173" s="556"/>
      <c r="D173" s="367"/>
      <c r="E173" s="899"/>
      <c r="F173" s="1057"/>
      <c r="G173" s="535"/>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row>
    <row r="174" spans="1:46" ht="20.9" customHeight="1" thickBot="1">
      <c r="A174" s="707"/>
      <c r="B174" s="450"/>
      <c r="C174" s="929" t="s">
        <v>258</v>
      </c>
      <c r="D174" s="929" t="s">
        <v>104</v>
      </c>
      <c r="E174" s="930" t="s">
        <v>105</v>
      </c>
      <c r="F174" s="948"/>
      <c r="G174" s="948"/>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row>
    <row r="175" spans="1:46" ht="20.9" customHeight="1">
      <c r="A175" s="1279" t="s">
        <v>2529</v>
      </c>
      <c r="B175" s="450"/>
      <c r="C175" s="556"/>
      <c r="D175" s="556"/>
      <c r="E175" s="556"/>
      <c r="F175" s="948"/>
      <c r="G175" s="948"/>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row>
    <row r="176" spans="1:46" ht="20.9" customHeight="1">
      <c r="A176" s="1280"/>
      <c r="B176" s="450"/>
      <c r="C176" s="556"/>
      <c r="D176" s="556"/>
      <c r="E176" s="453"/>
      <c r="F176" s="948"/>
      <c r="G176" s="948"/>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row>
    <row r="177" spans="1:46" ht="20.9" customHeight="1">
      <c r="A177" s="1280"/>
      <c r="B177" s="450"/>
      <c r="C177" s="175"/>
      <c r="D177" s="175"/>
      <c r="E177" s="175"/>
      <c r="F177" s="948"/>
      <c r="G177" s="948"/>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row>
    <row r="178" spans="1:46" ht="20.9" customHeight="1" thickBot="1">
      <c r="A178" s="1281"/>
      <c r="B178" s="450"/>
      <c r="C178" s="175"/>
      <c r="D178" s="175"/>
      <c r="E178" s="175"/>
      <c r="F178" s="948"/>
      <c r="G178" s="948"/>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row>
    <row r="179" spans="1:46" ht="20.9" customHeight="1" thickBot="1">
      <c r="B179" s="1247" t="s">
        <v>167</v>
      </c>
      <c r="C179" s="1259"/>
      <c r="D179" s="1273"/>
      <c r="E179" s="29"/>
      <c r="F179" s="29"/>
      <c r="G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row>
    <row r="180" spans="1:46" ht="20.9" customHeight="1" thickBot="1">
      <c r="A180" s="1279" t="s">
        <v>350</v>
      </c>
      <c r="B180" s="580"/>
      <c r="C180" s="581" t="s">
        <v>168</v>
      </c>
      <c r="D180" s="574" t="s">
        <v>169</v>
      </c>
      <c r="E180" s="29"/>
      <c r="F180" s="29"/>
      <c r="G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row>
    <row r="181" spans="1:46" ht="20.9" customHeight="1">
      <c r="A181" s="1280"/>
      <c r="B181" s="560"/>
      <c r="C181" s="164"/>
      <c r="D181" s="453"/>
      <c r="E181" s="29"/>
      <c r="F181" s="535"/>
      <c r="G181" s="535"/>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row>
    <row r="182" spans="1:46" ht="20.9" customHeight="1">
      <c r="A182" s="1280"/>
      <c r="B182" s="546"/>
      <c r="C182" s="663"/>
      <c r="D182" s="324"/>
      <c r="E182" s="1053"/>
      <c r="F182" s="535"/>
      <c r="G182" s="535"/>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row>
    <row r="183" spans="1:46" ht="20.9" customHeight="1">
      <c r="A183" s="1280"/>
      <c r="B183" s="546"/>
      <c r="C183" s="663"/>
      <c r="D183" s="324"/>
      <c r="E183" s="1053"/>
      <c r="F183" s="535"/>
      <c r="G183" s="535"/>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row>
    <row r="184" spans="1:46" ht="20.9" customHeight="1">
      <c r="A184" s="1280"/>
      <c r="B184" s="546"/>
      <c r="C184" s="663"/>
      <c r="D184" s="324"/>
      <c r="E184" s="1053"/>
      <c r="F184" s="535"/>
      <c r="G184" s="535"/>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row>
    <row r="185" spans="1:46" ht="20.9" customHeight="1">
      <c r="A185" s="1280"/>
      <c r="B185" s="546"/>
      <c r="C185" s="663"/>
      <c r="D185" s="324"/>
      <c r="E185" s="1053"/>
      <c r="F185" s="535"/>
      <c r="G185" s="535"/>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row>
    <row r="186" spans="1:46" ht="20.9" customHeight="1">
      <c r="A186" s="1280"/>
      <c r="B186" s="546"/>
      <c r="C186" s="663"/>
      <c r="D186" s="324"/>
      <c r="E186" s="1053"/>
      <c r="F186" s="535"/>
      <c r="G186" s="535"/>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row>
    <row r="187" spans="1:46" ht="20.9" customHeight="1">
      <c r="A187" s="1280"/>
      <c r="B187" s="546"/>
      <c r="C187" s="663"/>
      <c r="D187" s="324"/>
      <c r="E187" s="1053"/>
      <c r="F187" s="535"/>
      <c r="G187" s="535"/>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row>
    <row r="188" spans="1:46" ht="20.9" customHeight="1">
      <c r="A188" s="1280"/>
      <c r="B188" s="546"/>
      <c r="C188" s="663"/>
      <c r="D188" s="324"/>
      <c r="E188" s="1053"/>
      <c r="F188" s="535"/>
      <c r="G188" s="535"/>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row>
    <row r="189" spans="1:46" ht="20.9" customHeight="1">
      <c r="A189" s="1280"/>
      <c r="B189" s="546"/>
      <c r="C189" s="663"/>
      <c r="D189" s="324"/>
      <c r="E189" s="1053"/>
      <c r="F189" s="535"/>
      <c r="G189" s="535"/>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row>
    <row r="190" spans="1:46" ht="20.9" customHeight="1" thickBot="1">
      <c r="A190" s="1281"/>
      <c r="B190" s="561"/>
      <c r="C190" s="750"/>
      <c r="D190" s="449"/>
      <c r="E190" s="608"/>
      <c r="F190" s="29"/>
      <c r="G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row>
    <row r="191" spans="1:46" ht="20.9" customHeight="1" thickBot="1">
      <c r="B191" s="1247" t="s">
        <v>265</v>
      </c>
      <c r="C191" s="1246"/>
      <c r="D191" s="1246"/>
      <c r="E191" s="536"/>
      <c r="F191" s="29"/>
      <c r="G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row>
    <row r="192" spans="1:46" ht="20.9" customHeight="1" thickBot="1">
      <c r="A192" s="1279" t="s">
        <v>266</v>
      </c>
      <c r="B192" s="455"/>
      <c r="C192" s="393" t="s">
        <v>172</v>
      </c>
      <c r="D192" s="454" t="s">
        <v>169</v>
      </c>
      <c r="E192" s="29"/>
      <c r="F192" s="29"/>
      <c r="G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row>
    <row r="193" spans="1:46" ht="20.9" customHeight="1">
      <c r="A193" s="1280"/>
      <c r="B193" s="560"/>
      <c r="C193" s="756"/>
      <c r="D193" s="453"/>
      <c r="E193" s="29"/>
      <c r="F193" s="535"/>
      <c r="G193" s="535"/>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row>
    <row r="194" spans="1:46" ht="20.9" customHeight="1">
      <c r="A194" s="1280"/>
      <c r="B194" s="546"/>
      <c r="C194" s="762"/>
      <c r="D194" s="324"/>
      <c r="E194" s="1053"/>
      <c r="F194" s="535"/>
      <c r="G194" s="535"/>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row>
    <row r="195" spans="1:46" ht="20.9" customHeight="1">
      <c r="A195" s="1280"/>
      <c r="B195" s="546"/>
      <c r="C195" s="762"/>
      <c r="D195" s="324"/>
      <c r="E195" s="1053"/>
      <c r="F195" s="535"/>
      <c r="G195" s="535"/>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row>
    <row r="196" spans="1:46" ht="20.9" customHeight="1">
      <c r="A196" s="1280"/>
      <c r="B196" s="546"/>
      <c r="C196" s="762"/>
      <c r="D196" s="324"/>
      <c r="E196" s="1053"/>
      <c r="F196" s="535"/>
      <c r="G196" s="535"/>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row>
    <row r="197" spans="1:46" ht="20.9" customHeight="1">
      <c r="A197" s="1280"/>
      <c r="B197" s="546"/>
      <c r="C197" s="762"/>
      <c r="D197" s="324"/>
      <c r="E197" s="1053"/>
      <c r="F197" s="535"/>
      <c r="G197" s="535"/>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row>
    <row r="198" spans="1:46" ht="20.9" customHeight="1">
      <c r="A198" s="1280"/>
      <c r="B198" s="546"/>
      <c r="C198" s="762"/>
      <c r="D198" s="324"/>
      <c r="E198" s="1053"/>
      <c r="F198" s="535"/>
      <c r="G198" s="535"/>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row>
    <row r="199" spans="1:46" ht="20.9" customHeight="1">
      <c r="A199" s="1280"/>
      <c r="B199" s="546"/>
      <c r="C199" s="762"/>
      <c r="D199" s="324"/>
      <c r="E199" s="1053"/>
      <c r="F199" s="535"/>
      <c r="G199" s="535"/>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row>
    <row r="200" spans="1:46" ht="20.9" customHeight="1">
      <c r="A200" s="1280"/>
      <c r="B200" s="546"/>
      <c r="C200" s="762"/>
      <c r="D200" s="324"/>
      <c r="E200" s="1053"/>
      <c r="F200" s="535"/>
      <c r="G200" s="535"/>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row>
    <row r="201" spans="1:46" ht="20.9" customHeight="1" thickBot="1">
      <c r="A201" s="1281"/>
      <c r="B201" s="561"/>
      <c r="C201" s="763"/>
      <c r="D201" s="449"/>
      <c r="E201" s="1053"/>
      <c r="F201" s="535"/>
      <c r="G201" s="535"/>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row>
    <row r="202" spans="1:46">
      <c r="B202" s="983"/>
      <c r="C202" s="468"/>
      <c r="D202" s="528"/>
      <c r="E202" s="947"/>
      <c r="F202" s="948"/>
      <c r="G202" s="948"/>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row>
    <row r="203" spans="1:46" ht="15" thickBot="1">
      <c r="B203" s="471"/>
      <c r="C203" s="471"/>
      <c r="D203" s="469"/>
      <c r="E203" s="536"/>
      <c r="F203" s="29"/>
      <c r="G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row>
    <row r="204" spans="1:46" ht="24" thickBot="1">
      <c r="B204" s="1255" t="s">
        <v>178</v>
      </c>
      <c r="C204" s="1256"/>
      <c r="D204" s="1260"/>
      <c r="E204" s="946"/>
      <c r="F204" s="29"/>
      <c r="G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row>
    <row r="205" spans="1:46" ht="15" thickBot="1">
      <c r="B205" s="29"/>
      <c r="C205" s="29"/>
      <c r="D205" s="29"/>
      <c r="E205" s="536"/>
      <c r="F205" s="29"/>
      <c r="G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row>
    <row r="206" spans="1:46" ht="19" thickBot="1">
      <c r="B206" s="827"/>
      <c r="C206" s="828" t="s">
        <v>178</v>
      </c>
      <c r="D206" s="945" t="s">
        <v>286</v>
      </c>
      <c r="E206" s="29"/>
      <c r="F206" s="29"/>
      <c r="G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row>
    <row r="207" spans="1:46" ht="16" thickBot="1">
      <c r="A207" s="1008" t="s">
        <v>2530</v>
      </c>
      <c r="B207" s="403" t="s">
        <v>287</v>
      </c>
      <c r="C207" s="944"/>
      <c r="D207" s="944"/>
      <c r="E207" s="29"/>
      <c r="F207" s="29"/>
      <c r="G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row>
    <row r="208" spans="1:46" ht="44.15" customHeight="1" thickBot="1">
      <c r="A208" s="1028" t="s">
        <v>290</v>
      </c>
      <c r="B208" s="826" t="s">
        <v>291</v>
      </c>
      <c r="C208" s="899"/>
      <c r="D208" s="899"/>
      <c r="E208" s="29"/>
      <c r="F208" s="29"/>
      <c r="G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row>
    <row r="209" spans="1:46" ht="29.15" customHeight="1">
      <c r="A209" s="1279" t="s">
        <v>2531</v>
      </c>
      <c r="B209" s="1025" t="s">
        <v>292</v>
      </c>
      <c r="C209" s="899"/>
      <c r="D209" s="899"/>
      <c r="E209" s="29"/>
      <c r="F209" s="29"/>
      <c r="G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row>
    <row r="210" spans="1:46" ht="15" thickBot="1">
      <c r="A210" s="1281"/>
      <c r="B210" s="1032" t="s">
        <v>293</v>
      </c>
      <c r="C210" s="175"/>
      <c r="D210" s="175"/>
      <c r="E210" s="29"/>
      <c r="F210" s="29"/>
      <c r="G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row>
    <row r="211" spans="1:46" ht="98.5" customHeight="1" thickBot="1">
      <c r="A211" s="1028" t="s">
        <v>2532</v>
      </c>
      <c r="B211" s="962" t="s">
        <v>2505</v>
      </c>
      <c r="C211" s="175"/>
      <c r="D211" s="175"/>
      <c r="E211" s="29"/>
      <c r="F211" s="29"/>
      <c r="G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row>
    <row r="212" spans="1:46" ht="71.150000000000006" customHeight="1" thickBot="1">
      <c r="A212" s="1029" t="s">
        <v>294</v>
      </c>
      <c r="B212" s="1025" t="s">
        <v>213</v>
      </c>
      <c r="C212" s="943"/>
      <c r="D212" s="943"/>
      <c r="E212" s="29"/>
      <c r="F212" s="29"/>
      <c r="G212" s="29"/>
      <c r="H212" s="932"/>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row>
    <row r="213" spans="1:46" ht="15" thickBot="1">
      <c r="A213" s="1028" t="s">
        <v>295</v>
      </c>
      <c r="B213" s="1025" t="s">
        <v>209</v>
      </c>
      <c r="C213" s="943"/>
      <c r="D213" s="943"/>
      <c r="E213" s="29"/>
      <c r="F213" s="29"/>
      <c r="G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row>
    <row r="214" spans="1:46" ht="16" thickBot="1">
      <c r="A214" s="925" t="s">
        <v>296</v>
      </c>
      <c r="B214" s="826" t="s">
        <v>204</v>
      </c>
      <c r="C214" s="942"/>
      <c r="D214" s="942"/>
      <c r="E214" s="29"/>
      <c r="F214" s="29"/>
      <c r="G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row>
    <row r="215" spans="1:46" ht="15" thickBot="1">
      <c r="A215" s="397"/>
      <c r="E215" s="29"/>
      <c r="F215" s="29"/>
      <c r="G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row>
    <row r="216" spans="1:46" ht="21" customHeight="1" thickBot="1">
      <c r="B216" s="692" t="s">
        <v>222</v>
      </c>
      <c r="C216" s="695" t="s">
        <v>19</v>
      </c>
      <c r="D216" s="696" t="s">
        <v>20</v>
      </c>
      <c r="E216" s="29"/>
      <c r="F216" s="29"/>
      <c r="G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row>
    <row r="217" spans="1:46" ht="20.149999999999999" customHeight="1" thickBot="1">
      <c r="A217" s="925" t="s">
        <v>297</v>
      </c>
      <c r="B217" s="551" t="s">
        <v>2533</v>
      </c>
      <c r="C217" s="398" t="s">
        <v>299</v>
      </c>
      <c r="D217" s="563"/>
      <c r="E217" s="29"/>
      <c r="F217" s="29"/>
      <c r="G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row>
    <row r="218" spans="1:46" ht="20.149999999999999" customHeight="1" thickBot="1">
      <c r="A218" s="925" t="s">
        <v>300</v>
      </c>
      <c r="B218" s="331" t="s">
        <v>301</v>
      </c>
      <c r="C218" s="326" t="s">
        <v>135</v>
      </c>
      <c r="D218" s="423"/>
      <c r="E218" s="29"/>
      <c r="F218" s="29"/>
      <c r="G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row>
    <row r="219" spans="1:46" ht="83.15" customHeight="1" thickBot="1">
      <c r="A219" s="1010" t="s">
        <v>2544</v>
      </c>
      <c r="B219" s="331" t="s">
        <v>302</v>
      </c>
      <c r="C219" s="326" t="s">
        <v>135</v>
      </c>
      <c r="D219" s="423"/>
      <c r="E219" s="29"/>
      <c r="F219" s="29"/>
      <c r="G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row>
    <row r="220" spans="1:46" ht="33.65" customHeight="1" thickBot="1">
      <c r="A220" s="1028" t="s">
        <v>303</v>
      </c>
      <c r="B220" s="874" t="s">
        <v>304</v>
      </c>
      <c r="C220" s="326" t="s">
        <v>135</v>
      </c>
      <c r="D220" s="423"/>
      <c r="E220" s="29"/>
      <c r="F220" s="29"/>
      <c r="G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row>
    <row r="221" spans="1:46" ht="20.149999999999999" customHeight="1">
      <c r="A221" s="1279" t="s">
        <v>2534</v>
      </c>
      <c r="B221" s="331" t="s">
        <v>231</v>
      </c>
      <c r="C221" s="676"/>
      <c r="D221" s="424"/>
      <c r="E221" s="29"/>
      <c r="F221" s="535"/>
      <c r="G221" s="535"/>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row>
    <row r="222" spans="1:46" ht="20.149999999999999" customHeight="1">
      <c r="A222" s="1280"/>
      <c r="B222" s="331" t="s">
        <v>232</v>
      </c>
      <c r="C222" s="676"/>
      <c r="D222" s="424"/>
      <c r="E222" s="29"/>
      <c r="F222" s="535"/>
      <c r="G222" s="535"/>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row>
    <row r="223" spans="1:46" ht="20.149999999999999" customHeight="1" thickBot="1">
      <c r="A223" s="1281"/>
      <c r="B223" s="331" t="s">
        <v>233</v>
      </c>
      <c r="C223" s="676"/>
      <c r="D223" s="424"/>
      <c r="E223" s="29"/>
      <c r="F223" s="535"/>
      <c r="G223" s="535"/>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row>
    <row r="224" spans="1:46" ht="20.149999999999999" customHeight="1">
      <c r="A224" s="1279" t="s">
        <v>2535</v>
      </c>
      <c r="B224" s="331" t="s">
        <v>234</v>
      </c>
      <c r="C224" s="676"/>
      <c r="D224" s="424"/>
      <c r="E224" s="29"/>
      <c r="F224" s="535"/>
      <c r="G224" s="535"/>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row>
    <row r="225" spans="1:46" ht="28.5" customHeight="1" thickBot="1">
      <c r="A225" s="1281"/>
      <c r="B225" s="331" t="s">
        <v>235</v>
      </c>
      <c r="C225" s="676"/>
      <c r="D225" s="424"/>
      <c r="E225" s="29"/>
      <c r="F225" s="535"/>
      <c r="G225" s="535"/>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row>
    <row r="226" spans="1:46" ht="38.15" customHeight="1" thickBot="1">
      <c r="A226" s="931" t="s">
        <v>2536</v>
      </c>
      <c r="B226" s="331" t="s">
        <v>237</v>
      </c>
      <c r="C226" s="326" t="s">
        <v>238</v>
      </c>
      <c r="D226" s="424"/>
      <c r="E226" s="29"/>
      <c r="F226" s="535"/>
      <c r="G226" s="535"/>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row>
    <row r="227" spans="1:46" ht="21.65" customHeight="1">
      <c r="A227" s="1279" t="s">
        <v>2537</v>
      </c>
      <c r="B227" s="331" t="s">
        <v>306</v>
      </c>
      <c r="C227" s="736"/>
      <c r="D227" s="424"/>
      <c r="E227" s="29"/>
      <c r="F227" s="535"/>
      <c r="G227" s="535"/>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row>
    <row r="228" spans="1:46" ht="19.399999999999999" customHeight="1">
      <c r="A228" s="1280"/>
      <c r="B228" s="331" t="s">
        <v>307</v>
      </c>
      <c r="C228" s="736"/>
      <c r="D228" s="424"/>
      <c r="E228" s="29"/>
      <c r="F228" s="535"/>
      <c r="G228" s="535"/>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row>
    <row r="229" spans="1:46" ht="20.149999999999999" customHeight="1" thickBot="1">
      <c r="A229" s="1281"/>
      <c r="B229" s="331" t="s">
        <v>308</v>
      </c>
      <c r="C229" s="736"/>
      <c r="D229" s="424"/>
      <c r="E229" s="29"/>
      <c r="F229" s="535"/>
      <c r="G229" s="535"/>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row>
    <row r="230" spans="1:46" ht="60.65" customHeight="1">
      <c r="A230" s="1279" t="s">
        <v>2538</v>
      </c>
      <c r="B230" s="331" t="s">
        <v>309</v>
      </c>
      <c r="C230" s="326" t="s">
        <v>34</v>
      </c>
      <c r="D230" s="737"/>
      <c r="E230" s="29"/>
      <c r="F230" s="535"/>
      <c r="G230" s="535"/>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row>
    <row r="231" spans="1:46" ht="29.25" customHeight="1">
      <c r="A231" s="1280"/>
      <c r="B231" s="331" t="s">
        <v>310</v>
      </c>
      <c r="C231" s="326" t="s">
        <v>34</v>
      </c>
      <c r="D231" s="424"/>
      <c r="E231" s="29"/>
      <c r="F231" s="535"/>
      <c r="G231" s="535"/>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row>
    <row r="232" spans="1:46" ht="29.25" customHeight="1" thickBot="1">
      <c r="A232" s="1281"/>
      <c r="B232" s="566" t="s">
        <v>311</v>
      </c>
      <c r="C232" s="1050" t="s">
        <v>34</v>
      </c>
      <c r="D232" s="567"/>
      <c r="E232" s="29"/>
      <c r="F232" s="535"/>
      <c r="G232" s="535"/>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row>
    <row r="233" spans="1:46" ht="20.149999999999999" customHeight="1" thickBot="1">
      <c r="B233" s="965" t="s">
        <v>245</v>
      </c>
      <c r="C233" s="966" t="s">
        <v>246</v>
      </c>
      <c r="D233" s="967" t="s">
        <v>104</v>
      </c>
      <c r="E233" s="29"/>
      <c r="F233" s="29"/>
      <c r="G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row>
    <row r="234" spans="1:46" ht="20.149999999999999" customHeight="1">
      <c r="A234" s="1279" t="s">
        <v>2539</v>
      </c>
      <c r="B234" s="720"/>
      <c r="C234" s="681"/>
      <c r="D234" s="453"/>
      <c r="E234" s="29"/>
      <c r="F234" s="535"/>
      <c r="G234" s="535"/>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row>
    <row r="235" spans="1:46" ht="20.149999999999999" customHeight="1">
      <c r="A235" s="1280"/>
      <c r="B235" s="720"/>
      <c r="C235" s="676"/>
      <c r="D235" s="324"/>
      <c r="E235" s="1053"/>
      <c r="F235" s="535"/>
      <c r="G235" s="535"/>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row>
    <row r="236" spans="1:46" ht="20.149999999999999" customHeight="1">
      <c r="A236" s="1280"/>
      <c r="B236" s="720"/>
      <c r="C236" s="676"/>
      <c r="D236" s="324"/>
      <c r="E236" s="1053"/>
      <c r="F236" s="535"/>
      <c r="G236" s="535"/>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row>
    <row r="237" spans="1:46" ht="20.149999999999999" customHeight="1">
      <c r="A237" s="1280"/>
      <c r="B237" s="720"/>
      <c r="C237" s="676"/>
      <c r="D237" s="324"/>
      <c r="E237" s="1053"/>
      <c r="F237" s="535"/>
      <c r="G237" s="535"/>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row>
    <row r="238" spans="1:46" ht="20.149999999999999" customHeight="1">
      <c r="A238" s="1280"/>
      <c r="B238" s="720"/>
      <c r="C238" s="676"/>
      <c r="D238" s="324"/>
      <c r="E238" s="1053"/>
      <c r="F238" s="535"/>
      <c r="G238" s="535"/>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row>
    <row r="239" spans="1:46" ht="20.149999999999999" customHeight="1">
      <c r="A239" s="1280"/>
      <c r="B239" s="720"/>
      <c r="C239" s="676"/>
      <c r="D239" s="324"/>
      <c r="E239" s="1053"/>
      <c r="F239" s="535"/>
      <c r="G239" s="535"/>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row>
    <row r="240" spans="1:46" ht="20.149999999999999" customHeight="1">
      <c r="A240" s="1280"/>
      <c r="B240" s="720"/>
      <c r="C240" s="676"/>
      <c r="D240" s="324"/>
      <c r="E240" s="1053"/>
      <c r="F240" s="535"/>
      <c r="G240" s="535"/>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row>
    <row r="241" spans="1:46" ht="20.149999999999999" customHeight="1">
      <c r="A241" s="1280"/>
      <c r="B241" s="720"/>
      <c r="C241" s="676"/>
      <c r="D241" s="324"/>
      <c r="E241" s="1053"/>
      <c r="F241" s="535"/>
      <c r="G241" s="535"/>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row>
    <row r="242" spans="1:46" ht="20.149999999999999" customHeight="1">
      <c r="A242" s="1280"/>
      <c r="B242" s="720"/>
      <c r="C242" s="676"/>
      <c r="D242" s="324"/>
      <c r="E242" s="1053"/>
      <c r="F242" s="535"/>
      <c r="G242" s="535"/>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row>
    <row r="243" spans="1:46" ht="20.149999999999999" customHeight="1">
      <c r="A243" s="1280"/>
      <c r="B243" s="720"/>
      <c r="C243" s="676"/>
      <c r="D243" s="324"/>
      <c r="E243" s="1053"/>
      <c r="F243" s="535"/>
      <c r="G243" s="535"/>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row>
    <row r="244" spans="1:46" ht="20.149999999999999" customHeight="1">
      <c r="A244" s="1280"/>
      <c r="B244" s="720"/>
      <c r="C244" s="676"/>
      <c r="D244" s="324"/>
      <c r="E244" s="1053"/>
      <c r="F244" s="535"/>
      <c r="G244" s="535"/>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row>
    <row r="245" spans="1:46" ht="20.149999999999999" customHeight="1">
      <c r="A245" s="1280"/>
      <c r="B245" s="720"/>
      <c r="C245" s="676"/>
      <c r="D245" s="324"/>
      <c r="E245" s="1053"/>
      <c r="F245" s="535"/>
      <c r="G245" s="535"/>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row>
    <row r="246" spans="1:46" ht="20.149999999999999" customHeight="1" thickBot="1">
      <c r="A246" s="1281"/>
      <c r="B246" s="720"/>
      <c r="C246" s="677"/>
      <c r="D246" s="449"/>
      <c r="E246" s="1053"/>
      <c r="F246" s="535"/>
      <c r="G246" s="535"/>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row>
    <row r="247" spans="1:46" ht="15.5" thickBot="1">
      <c r="B247" s="425"/>
      <c r="C247" s="340" t="s">
        <v>255</v>
      </c>
      <c r="D247" s="428" t="s">
        <v>104</v>
      </c>
      <c r="E247" s="608"/>
      <c r="F247" s="29"/>
      <c r="G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row>
    <row r="248" spans="1:46" ht="20.9" customHeight="1">
      <c r="A248" s="1279" t="s">
        <v>2540</v>
      </c>
      <c r="B248" s="545"/>
      <c r="C248" s="748"/>
      <c r="D248" s="413"/>
      <c r="E248" s="29"/>
      <c r="F248" s="535"/>
      <c r="G248" s="535"/>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row>
    <row r="249" spans="1:46" ht="20.9" customHeight="1">
      <c r="A249" s="1280"/>
      <c r="B249" s="545"/>
      <c r="C249" s="748"/>
      <c r="D249" s="367"/>
      <c r="E249" s="1053"/>
      <c r="F249" s="535"/>
      <c r="G249" s="535"/>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row>
    <row r="250" spans="1:46" ht="20.9" customHeight="1">
      <c r="A250" s="1280"/>
      <c r="B250" s="545"/>
      <c r="C250" s="748"/>
      <c r="D250" s="367"/>
      <c r="E250" s="1053"/>
      <c r="F250" s="535"/>
      <c r="G250" s="535"/>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row>
    <row r="251" spans="1:46" ht="20.9" customHeight="1">
      <c r="A251" s="1280"/>
      <c r="B251" s="545"/>
      <c r="C251" s="748"/>
      <c r="D251" s="367"/>
      <c r="E251" s="1053"/>
      <c r="F251" s="535"/>
      <c r="G251" s="535"/>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row>
    <row r="252" spans="1:46" ht="20.9" customHeight="1">
      <c r="A252" s="1280"/>
      <c r="B252" s="545"/>
      <c r="C252" s="748"/>
      <c r="D252" s="367"/>
      <c r="E252" s="1053"/>
      <c r="F252" s="535"/>
      <c r="G252" s="535"/>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row>
    <row r="253" spans="1:46" ht="20.9" customHeight="1">
      <c r="A253" s="1280"/>
      <c r="B253" s="545"/>
      <c r="C253" s="748"/>
      <c r="D253" s="367"/>
      <c r="E253" s="1053"/>
      <c r="F253" s="535"/>
      <c r="G253" s="535"/>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row>
    <row r="254" spans="1:46" ht="20.9" customHeight="1">
      <c r="A254" s="1280"/>
      <c r="B254" s="545"/>
      <c r="C254" s="748"/>
      <c r="D254" s="367"/>
      <c r="E254" s="1053"/>
      <c r="F254" s="535"/>
      <c r="G254" s="535"/>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row>
    <row r="255" spans="1:46" ht="20.9" customHeight="1">
      <c r="A255" s="1280"/>
      <c r="B255" s="545"/>
      <c r="C255" s="748"/>
      <c r="D255" s="367"/>
      <c r="E255" s="1053"/>
      <c r="F255" s="535"/>
      <c r="G255" s="535"/>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row>
    <row r="256" spans="1:46" ht="20.9" customHeight="1" thickBot="1">
      <c r="A256" s="1281"/>
      <c r="B256" s="545"/>
      <c r="C256" s="748"/>
      <c r="D256" s="432"/>
      <c r="E256" s="1054"/>
      <c r="F256" s="535"/>
      <c r="G256" s="535"/>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row>
    <row r="257" spans="1:46" ht="16" thickBot="1">
      <c r="B257" s="425"/>
      <c r="C257" s="340" t="s">
        <v>256</v>
      </c>
      <c r="D257" s="900" t="s">
        <v>104</v>
      </c>
      <c r="E257" s="901" t="s">
        <v>88</v>
      </c>
      <c r="F257" s="29"/>
      <c r="G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row>
    <row r="258" spans="1:46" ht="19.5" customHeight="1">
      <c r="A258" s="1191" t="s">
        <v>2571</v>
      </c>
      <c r="B258" s="1048"/>
      <c r="C258" s="556"/>
      <c r="D258" s="413"/>
      <c r="E258" s="324"/>
      <c r="F258" s="29"/>
      <c r="G258" s="535"/>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row>
    <row r="259" spans="1:46" ht="19.5" customHeight="1">
      <c r="A259" s="1194"/>
      <c r="B259" s="1048"/>
      <c r="C259" s="556"/>
      <c r="D259" s="367"/>
      <c r="E259" s="1045"/>
      <c r="F259" s="535"/>
      <c r="G259" s="535"/>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row>
    <row r="260" spans="1:46" ht="19.5" customHeight="1">
      <c r="A260" s="1194"/>
      <c r="B260" s="1048"/>
      <c r="C260" s="556"/>
      <c r="D260" s="367"/>
      <c r="E260" s="1045"/>
      <c r="F260" s="535"/>
      <c r="G260" s="535"/>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row>
    <row r="261" spans="1:46" ht="19.5" customHeight="1">
      <c r="A261" s="1194"/>
      <c r="B261" s="1048"/>
      <c r="C261" s="556"/>
      <c r="D261" s="367"/>
      <c r="E261" s="1045"/>
      <c r="F261" s="535"/>
      <c r="G261" s="535"/>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row>
    <row r="262" spans="1:46" ht="19.5" customHeight="1">
      <c r="A262" s="1194"/>
      <c r="B262" s="1048"/>
      <c r="C262" s="556"/>
      <c r="D262" s="367"/>
      <c r="E262" s="1045"/>
      <c r="F262" s="535"/>
      <c r="G262" s="535"/>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row>
    <row r="263" spans="1:46" ht="19.5" customHeight="1">
      <c r="A263" s="1194"/>
      <c r="B263" s="1048"/>
      <c r="C263" s="556"/>
      <c r="D263" s="367"/>
      <c r="E263" s="1045"/>
      <c r="F263" s="535"/>
      <c r="G263" s="535"/>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row>
    <row r="264" spans="1:46" ht="19.5" customHeight="1">
      <c r="A264" s="1194"/>
      <c r="B264" s="1048"/>
      <c r="C264" s="556"/>
      <c r="D264" s="367"/>
      <c r="E264" s="1045"/>
      <c r="F264" s="535"/>
      <c r="G264" s="535"/>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row>
    <row r="265" spans="1:46" ht="19.5" customHeight="1">
      <c r="A265" s="1194"/>
      <c r="B265" s="1048"/>
      <c r="C265" s="556"/>
      <c r="D265" s="367"/>
      <c r="E265" s="1045"/>
      <c r="F265" s="535"/>
      <c r="G265" s="535"/>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row>
    <row r="266" spans="1:46" ht="19.5" customHeight="1">
      <c r="A266" s="1194"/>
      <c r="B266" s="1048"/>
      <c r="C266" s="556"/>
      <c r="D266" s="367"/>
      <c r="E266" s="1045"/>
      <c r="F266" s="535"/>
      <c r="G266" s="535"/>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row>
    <row r="267" spans="1:46" ht="19.5" customHeight="1" thickBot="1">
      <c r="A267" s="1197"/>
      <c r="B267" s="1048"/>
      <c r="C267" s="556"/>
      <c r="D267" s="367"/>
      <c r="E267" s="1045"/>
      <c r="F267" s="535"/>
      <c r="G267" s="535"/>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row>
    <row r="268" spans="1:46" ht="19.5" customHeight="1" thickBot="1">
      <c r="B268" s="1048"/>
      <c r="C268" s="929" t="s">
        <v>258</v>
      </c>
      <c r="D268" s="929" t="s">
        <v>104</v>
      </c>
      <c r="E268" s="930" t="s">
        <v>105</v>
      </c>
      <c r="F268" s="948"/>
      <c r="G268" s="948"/>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row>
    <row r="269" spans="1:46" ht="19.5" customHeight="1">
      <c r="A269" s="1191" t="s">
        <v>2541</v>
      </c>
      <c r="B269" s="1048"/>
      <c r="C269" s="556"/>
      <c r="D269" s="556"/>
      <c r="E269" s="453"/>
      <c r="F269" s="948"/>
      <c r="G269" s="948"/>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row>
    <row r="270" spans="1:46" ht="19.5" customHeight="1">
      <c r="A270" s="1194"/>
      <c r="B270" s="1048"/>
      <c r="C270" s="556"/>
      <c r="D270" s="556"/>
      <c r="E270" s="453"/>
      <c r="F270" s="948"/>
      <c r="G270" s="948"/>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row>
    <row r="271" spans="1:46" ht="19.5" customHeight="1">
      <c r="A271" s="1194"/>
      <c r="B271" s="1048"/>
      <c r="C271" s="175"/>
      <c r="D271" s="175"/>
      <c r="E271" s="324"/>
      <c r="F271" s="948"/>
      <c r="G271" s="948"/>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row>
    <row r="272" spans="1:46" ht="19.5" customHeight="1" thickBot="1">
      <c r="A272" s="1197"/>
      <c r="B272" s="1049"/>
      <c r="C272" s="557"/>
      <c r="D272" s="557"/>
      <c r="E272" s="449"/>
      <c r="F272" s="948"/>
      <c r="G272" s="948"/>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row>
    <row r="273" spans="1:46" ht="16" thickBot="1">
      <c r="B273" s="1258" t="s">
        <v>167</v>
      </c>
      <c r="C273" s="1259"/>
      <c r="D273" s="1259"/>
      <c r="E273" s="536"/>
      <c r="F273" s="29"/>
      <c r="G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row>
    <row r="274" spans="1:46" ht="17.5" customHeight="1" thickBot="1">
      <c r="A274" s="1193" t="s">
        <v>2542</v>
      </c>
      <c r="B274" s="412"/>
      <c r="C274" s="581" t="s">
        <v>168</v>
      </c>
      <c r="D274" s="589" t="s">
        <v>169</v>
      </c>
      <c r="E274" s="29"/>
      <c r="F274" s="29"/>
      <c r="G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row>
    <row r="275" spans="1:46" ht="14.5" customHeight="1">
      <c r="A275" s="1196"/>
      <c r="B275" s="560"/>
      <c r="C275" s="164"/>
      <c r="D275" s="453"/>
      <c r="E275" s="29"/>
      <c r="F275" s="535"/>
      <c r="G275" s="535"/>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row>
    <row r="276" spans="1:46">
      <c r="A276" s="1196"/>
      <c r="B276" s="546"/>
      <c r="C276" s="164"/>
      <c r="D276" s="324"/>
      <c r="E276" s="1053"/>
      <c r="F276" s="535"/>
      <c r="G276" s="535"/>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row>
    <row r="277" spans="1:46">
      <c r="A277" s="1196"/>
      <c r="B277" s="546"/>
      <c r="C277" s="164"/>
      <c r="D277" s="324"/>
      <c r="E277" s="1053"/>
      <c r="F277" s="535"/>
      <c r="G277" s="535"/>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row>
    <row r="278" spans="1:46">
      <c r="A278" s="1196"/>
      <c r="B278" s="546"/>
      <c r="C278" s="164"/>
      <c r="D278" s="324"/>
      <c r="E278" s="1053"/>
      <c r="F278" s="535"/>
      <c r="G278" s="535"/>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row>
    <row r="279" spans="1:46">
      <c r="A279" s="1196"/>
      <c r="B279" s="546"/>
      <c r="C279" s="164"/>
      <c r="D279" s="324"/>
      <c r="E279" s="1053"/>
      <c r="F279" s="535"/>
      <c r="G279" s="535"/>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row>
    <row r="280" spans="1:46">
      <c r="A280" s="1196"/>
      <c r="B280" s="546"/>
      <c r="C280" s="164"/>
      <c r="D280" s="324"/>
      <c r="E280" s="1053"/>
      <c r="F280" s="535"/>
      <c r="G280" s="535"/>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row>
    <row r="281" spans="1:46">
      <c r="A281" s="1196"/>
      <c r="B281" s="546"/>
      <c r="C281" s="164"/>
      <c r="D281" s="324"/>
      <c r="E281" s="1053"/>
      <c r="F281" s="535"/>
      <c r="G281" s="535"/>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row>
    <row r="282" spans="1:46">
      <c r="A282" s="1196"/>
      <c r="B282" s="546"/>
      <c r="C282" s="164"/>
      <c r="D282" s="324"/>
      <c r="E282" s="1053"/>
      <c r="F282" s="535"/>
      <c r="G282" s="535"/>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row>
    <row r="283" spans="1:46">
      <c r="A283" s="1196"/>
      <c r="B283" s="546"/>
      <c r="C283" s="164"/>
      <c r="D283" s="324"/>
      <c r="E283" s="1053"/>
      <c r="F283" s="535"/>
      <c r="G283" s="535"/>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row>
    <row r="284" spans="1:46" ht="15" thickBot="1">
      <c r="A284" s="1196"/>
      <c r="B284" s="561"/>
      <c r="C284" s="164"/>
      <c r="D284" s="449"/>
      <c r="E284" s="29"/>
      <c r="F284" s="29"/>
      <c r="G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row>
    <row r="285" spans="1:46" ht="16" thickBot="1">
      <c r="B285" s="1265" t="s">
        <v>265</v>
      </c>
      <c r="C285" s="1266"/>
      <c r="D285" s="1267"/>
      <c r="E285" s="29"/>
      <c r="F285" s="29"/>
      <c r="G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row>
    <row r="286" spans="1:46" ht="29.5" customHeight="1" thickBot="1">
      <c r="A286" s="1279" t="s">
        <v>313</v>
      </c>
      <c r="B286" s="579"/>
      <c r="C286" s="591" t="s">
        <v>172</v>
      </c>
      <c r="D286" s="454" t="s">
        <v>169</v>
      </c>
      <c r="E286" s="29"/>
      <c r="F286" s="535"/>
      <c r="G286" s="535"/>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row>
    <row r="287" spans="1:46" ht="14.5" customHeight="1">
      <c r="A287" s="1280"/>
      <c r="B287" s="560"/>
      <c r="C287" s="751"/>
      <c r="D287" s="185"/>
      <c r="E287" s="1053"/>
      <c r="F287" s="535"/>
      <c r="G287" s="535"/>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row>
    <row r="288" spans="1:46">
      <c r="A288" s="1280"/>
      <c r="B288" s="546"/>
      <c r="C288" s="752"/>
      <c r="D288" s="426"/>
      <c r="E288" s="1053"/>
      <c r="F288" s="535"/>
      <c r="G288" s="535"/>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row>
    <row r="289" spans="1:46">
      <c r="A289" s="1280"/>
      <c r="B289" s="546"/>
      <c r="C289" s="752"/>
      <c r="D289" s="426"/>
      <c r="E289" s="1053"/>
      <c r="F289" s="535"/>
      <c r="G289" s="535"/>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row>
    <row r="290" spans="1:46">
      <c r="A290" s="1280"/>
      <c r="B290" s="546"/>
      <c r="C290" s="752"/>
      <c r="D290" s="426"/>
      <c r="E290" s="1053"/>
      <c r="F290" s="535"/>
      <c r="G290" s="535"/>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row>
    <row r="291" spans="1:46">
      <c r="A291" s="1280"/>
      <c r="B291" s="546"/>
      <c r="C291" s="752"/>
      <c r="D291" s="426"/>
      <c r="E291" s="1053"/>
      <c r="F291" s="535"/>
      <c r="G291" s="535"/>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row>
    <row r="292" spans="1:46">
      <c r="A292" s="1280"/>
      <c r="B292" s="546"/>
      <c r="C292" s="753"/>
      <c r="D292" s="426"/>
      <c r="E292" s="1053"/>
      <c r="F292" s="535"/>
      <c r="G292" s="535"/>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row>
    <row r="293" spans="1:46">
      <c r="A293" s="1280"/>
      <c r="B293" s="546"/>
      <c r="C293" s="753"/>
      <c r="D293" s="426"/>
      <c r="E293" s="1053"/>
      <c r="F293" s="535"/>
      <c r="G293" s="535"/>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row>
    <row r="294" spans="1:46">
      <c r="A294" s="1280"/>
      <c r="B294" s="546"/>
      <c r="C294" s="753"/>
      <c r="D294" s="426"/>
      <c r="E294" s="1053"/>
      <c r="F294" s="535"/>
      <c r="G294" s="535"/>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row>
    <row r="295" spans="1:46" ht="15" thickBot="1">
      <c r="A295" s="1281"/>
      <c r="B295" s="561"/>
      <c r="C295" s="754"/>
      <c r="D295" s="452"/>
      <c r="E295" s="608"/>
      <c r="F295" s="29"/>
      <c r="G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row>
    <row r="296" spans="1:46" ht="15.75" customHeight="1">
      <c r="B296" s="29"/>
      <c r="C296" s="29"/>
      <c r="D296" s="29"/>
      <c r="E296" s="608"/>
      <c r="F296" s="29"/>
      <c r="G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row>
    <row r="297" spans="1:46" ht="15" thickBot="1">
      <c r="B297" s="29"/>
      <c r="C297" s="29"/>
      <c r="D297" s="29"/>
      <c r="E297" s="536"/>
      <c r="F297" s="29"/>
      <c r="G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row>
    <row r="298" spans="1:46" ht="24" thickBot="1">
      <c r="B298" s="1255" t="s">
        <v>179</v>
      </c>
      <c r="C298" s="1256"/>
      <c r="D298" s="1260"/>
      <c r="E298" s="536"/>
      <c r="F298" s="29"/>
      <c r="G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row>
    <row r="299" spans="1:46" ht="14.25" customHeight="1">
      <c r="B299" s="525"/>
      <c r="C299" s="525"/>
      <c r="D299" s="525"/>
      <c r="E299" s="536"/>
      <c r="F299" s="29"/>
      <c r="G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row>
    <row r="300" spans="1:46" ht="15" thickBot="1">
      <c r="B300" s="29"/>
      <c r="C300" s="29"/>
      <c r="D300" s="29"/>
      <c r="E300" s="536"/>
      <c r="F300" s="29"/>
      <c r="G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row>
    <row r="301" spans="1:46" ht="19" thickBot="1">
      <c r="B301" s="1271" t="s">
        <v>207</v>
      </c>
      <c r="C301" s="1272"/>
      <c r="D301" s="29"/>
      <c r="E301" s="536"/>
      <c r="F301" s="29"/>
      <c r="G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row>
    <row r="302" spans="1:46" ht="15.5">
      <c r="A302" s="1277" t="s">
        <v>314</v>
      </c>
      <c r="B302" s="1251" t="s">
        <v>315</v>
      </c>
      <c r="C302" s="1252"/>
      <c r="D302" s="29"/>
      <c r="E302" s="536"/>
      <c r="F302" s="29"/>
      <c r="G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row>
    <row r="303" spans="1:46" ht="16" thickBot="1">
      <c r="A303" s="1278"/>
      <c r="B303" s="1253"/>
      <c r="C303" s="1254"/>
      <c r="D303" s="29"/>
      <c r="E303" s="536"/>
      <c r="F303" s="29"/>
      <c r="G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row>
    <row r="304" spans="1:46" ht="15" thickBot="1">
      <c r="B304" s="29"/>
      <c r="C304" s="29"/>
      <c r="D304" s="29"/>
      <c r="E304" s="536"/>
      <c r="F304" s="29"/>
      <c r="G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row>
    <row r="305" spans="1:46" ht="19" thickBot="1">
      <c r="B305" s="692" t="s">
        <v>222</v>
      </c>
      <c r="C305" s="695" t="s">
        <v>19</v>
      </c>
      <c r="D305" s="696" t="s">
        <v>20</v>
      </c>
      <c r="E305" s="29"/>
      <c r="F305" s="29"/>
      <c r="G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row>
    <row r="306" spans="1:46" ht="16" thickBot="1">
      <c r="A306" s="925" t="s">
        <v>297</v>
      </c>
      <c r="B306" s="551" t="s">
        <v>298</v>
      </c>
      <c r="C306" s="398" t="s">
        <v>299</v>
      </c>
      <c r="D306" s="563"/>
      <c r="E306" s="29"/>
      <c r="F306" s="29"/>
      <c r="G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row>
    <row r="307" spans="1:46" ht="58.5" thickBot="1">
      <c r="A307" s="1029" t="s">
        <v>294</v>
      </c>
      <c r="B307" s="1025" t="s">
        <v>316</v>
      </c>
      <c r="C307" s="326" t="s">
        <v>317</v>
      </c>
      <c r="D307" s="423"/>
      <c r="E307" s="29"/>
      <c r="F307" s="29"/>
      <c r="G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row>
    <row r="308" spans="1:46" ht="93" customHeight="1" thickBot="1">
      <c r="A308" s="1028" t="s">
        <v>2543</v>
      </c>
      <c r="B308" s="962" t="s">
        <v>2505</v>
      </c>
      <c r="C308" s="326" t="s">
        <v>318</v>
      </c>
      <c r="D308" s="423"/>
      <c r="E308" s="29"/>
      <c r="F308" s="29"/>
      <c r="G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row>
    <row r="309" spans="1:46" ht="83.15" customHeight="1" thickBot="1">
      <c r="A309" s="1010" t="s">
        <v>2545</v>
      </c>
      <c r="B309" s="575" t="s">
        <v>319</v>
      </c>
      <c r="C309" s="547" t="s">
        <v>135</v>
      </c>
      <c r="D309" s="576"/>
      <c r="E309" s="29"/>
      <c r="F309" s="29"/>
      <c r="G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row>
    <row r="310" spans="1:46" ht="31.5" thickBot="1">
      <c r="A310" s="1028" t="s">
        <v>303</v>
      </c>
      <c r="B310" s="575" t="s">
        <v>320</v>
      </c>
      <c r="C310" s="547" t="s">
        <v>135</v>
      </c>
      <c r="D310" s="576"/>
      <c r="E310" s="29"/>
      <c r="F310" s="468"/>
      <c r="G310" s="468"/>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row>
    <row r="311" spans="1:46" ht="44" thickBot="1">
      <c r="A311" s="1028" t="s">
        <v>290</v>
      </c>
      <c r="B311" s="331" t="s">
        <v>321</v>
      </c>
      <c r="C311" s="327" t="s">
        <v>322</v>
      </c>
      <c r="D311" s="423"/>
      <c r="E311" s="29"/>
      <c r="F311" s="29"/>
      <c r="G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row>
    <row r="312" spans="1:46" ht="29.5" thickBot="1">
      <c r="A312" s="1077" t="s">
        <v>323</v>
      </c>
      <c r="B312" s="1025" t="s">
        <v>324</v>
      </c>
      <c r="C312" s="327" t="s">
        <v>135</v>
      </c>
      <c r="D312" s="423"/>
      <c r="E312" s="29"/>
      <c r="F312" s="29"/>
      <c r="G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row>
    <row r="313" spans="1:46" ht="15.65" customHeight="1">
      <c r="A313" s="1279" t="s">
        <v>2531</v>
      </c>
      <c r="B313" s="331" t="s">
        <v>216</v>
      </c>
      <c r="C313" s="326" t="s">
        <v>325</v>
      </c>
      <c r="D313" s="423"/>
      <c r="E313" s="29"/>
      <c r="F313" s="535"/>
      <c r="G313" s="535"/>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row>
    <row r="314" spans="1:46" ht="16" thickBot="1">
      <c r="A314" s="1281"/>
      <c r="B314" s="331" t="s">
        <v>217</v>
      </c>
      <c r="C314" s="326" t="s">
        <v>326</v>
      </c>
      <c r="D314" s="423"/>
      <c r="E314" s="29"/>
      <c r="F314" s="535"/>
      <c r="G314" s="535"/>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row>
    <row r="315" spans="1:46" ht="16" thickBot="1">
      <c r="A315" s="1030" t="s">
        <v>296</v>
      </c>
      <c r="B315" s="331" t="s">
        <v>204</v>
      </c>
      <c r="C315" s="326" t="s">
        <v>36</v>
      </c>
      <c r="D315" s="423"/>
      <c r="E315" s="29"/>
      <c r="F315" s="29"/>
      <c r="G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row>
    <row r="316" spans="1:46" ht="33.65" customHeight="1">
      <c r="A316" s="1279" t="s">
        <v>305</v>
      </c>
      <c r="B316" s="331" t="s">
        <v>231</v>
      </c>
      <c r="C316" s="676"/>
      <c r="D316" s="424"/>
      <c r="E316" s="29"/>
      <c r="F316" s="535"/>
      <c r="G316" s="535"/>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row>
    <row r="317" spans="1:46" ht="15.5">
      <c r="A317" s="1280"/>
      <c r="B317" s="331" t="s">
        <v>232</v>
      </c>
      <c r="C317" s="676"/>
      <c r="D317" s="424"/>
      <c r="E317" s="29"/>
      <c r="F317" s="535"/>
      <c r="G317" s="535"/>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row>
    <row r="318" spans="1:46" ht="16" thickBot="1">
      <c r="A318" s="1281"/>
      <c r="B318" s="331" t="s">
        <v>233</v>
      </c>
      <c r="C318" s="676"/>
      <c r="D318" s="424"/>
      <c r="E318" s="29"/>
      <c r="F318" s="535"/>
      <c r="G318" s="535"/>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row>
    <row r="319" spans="1:46" ht="25.5" customHeight="1">
      <c r="A319" s="1279" t="s">
        <v>2535</v>
      </c>
      <c r="B319" s="331" t="s">
        <v>234</v>
      </c>
      <c r="C319" s="676"/>
      <c r="D319" s="424"/>
      <c r="E319" s="29"/>
      <c r="F319" s="535"/>
      <c r="G319" s="535"/>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row>
    <row r="320" spans="1:46" ht="27" customHeight="1" thickBot="1">
      <c r="A320" s="1281"/>
      <c r="B320" s="331" t="s">
        <v>235</v>
      </c>
      <c r="C320" s="676"/>
      <c r="D320" s="424"/>
      <c r="E320" s="29"/>
      <c r="F320" s="535"/>
      <c r="G320" s="535"/>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row>
    <row r="321" spans="1:46" ht="30.75" customHeight="1" thickBot="1">
      <c r="A321" s="931" t="s">
        <v>2536</v>
      </c>
      <c r="B321" s="331" t="s">
        <v>237</v>
      </c>
      <c r="C321" s="326" t="s">
        <v>238</v>
      </c>
      <c r="D321" s="424"/>
      <c r="E321" s="29"/>
      <c r="F321" s="535"/>
      <c r="G321" s="535"/>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row>
    <row r="322" spans="1:46" ht="18" customHeight="1">
      <c r="A322" s="1279" t="s">
        <v>2546</v>
      </c>
      <c r="B322" s="331" t="s">
        <v>306</v>
      </c>
      <c r="C322" s="676"/>
      <c r="D322" s="424"/>
      <c r="E322" s="29"/>
      <c r="F322" s="535"/>
      <c r="G322" s="535"/>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row>
    <row r="323" spans="1:46" ht="19.399999999999999" customHeight="1">
      <c r="A323" s="1280"/>
      <c r="B323" s="331" t="s">
        <v>307</v>
      </c>
      <c r="C323" s="676"/>
      <c r="D323" s="424"/>
      <c r="E323" s="29"/>
      <c r="F323" s="535"/>
      <c r="G323" s="535"/>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row>
    <row r="324" spans="1:46" ht="18.649999999999999" customHeight="1" thickBot="1">
      <c r="A324" s="1281"/>
      <c r="B324" s="566" t="s">
        <v>308</v>
      </c>
      <c r="C324" s="677"/>
      <c r="D324" s="567"/>
      <c r="E324" s="29"/>
      <c r="F324" s="535"/>
      <c r="G324" s="535"/>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row>
    <row r="325" spans="1:46" ht="26.25" customHeight="1" thickBot="1">
      <c r="B325" s="427" t="s">
        <v>245</v>
      </c>
      <c r="C325" s="340" t="s">
        <v>246</v>
      </c>
      <c r="D325" s="428" t="s">
        <v>104</v>
      </c>
      <c r="E325" s="29"/>
      <c r="F325" s="29"/>
      <c r="G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row>
    <row r="326" spans="1:46" ht="18.649999999999999" customHeight="1">
      <c r="A326" s="1279" t="s">
        <v>2547</v>
      </c>
      <c r="B326" s="720"/>
      <c r="C326" s="681"/>
      <c r="D326" s="453"/>
      <c r="E326" s="29"/>
      <c r="F326" s="535"/>
      <c r="G326" s="535"/>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row>
    <row r="327" spans="1:46" ht="18.649999999999999" customHeight="1">
      <c r="A327" s="1280"/>
      <c r="B327" s="720"/>
      <c r="C327" s="676"/>
      <c r="D327" s="324"/>
      <c r="E327" s="1053"/>
      <c r="F327" s="535"/>
      <c r="G327" s="535"/>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row>
    <row r="328" spans="1:46" ht="18.649999999999999" customHeight="1">
      <c r="A328" s="1280"/>
      <c r="B328" s="720"/>
      <c r="C328" s="676"/>
      <c r="D328" s="324"/>
      <c r="E328" s="1053"/>
      <c r="F328" s="535"/>
      <c r="G328" s="535"/>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row>
    <row r="329" spans="1:46" ht="18.649999999999999" customHeight="1">
      <c r="A329" s="1280"/>
      <c r="B329" s="720"/>
      <c r="C329" s="676"/>
      <c r="D329" s="324"/>
      <c r="E329" s="1053"/>
      <c r="F329" s="535"/>
      <c r="G329" s="535"/>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row>
    <row r="330" spans="1:46" ht="18.649999999999999" customHeight="1">
      <c r="A330" s="1280"/>
      <c r="B330" s="720"/>
      <c r="C330" s="676"/>
      <c r="D330" s="324"/>
      <c r="E330" s="1053"/>
      <c r="F330" s="535"/>
      <c r="G330" s="535"/>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row>
    <row r="331" spans="1:46" ht="18.649999999999999" customHeight="1">
      <c r="A331" s="1280"/>
      <c r="B331" s="720"/>
      <c r="C331" s="676"/>
      <c r="D331" s="324"/>
      <c r="E331" s="1053"/>
      <c r="F331" s="535"/>
      <c r="G331" s="535"/>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row>
    <row r="332" spans="1:46" ht="18.649999999999999" customHeight="1">
      <c r="A332" s="1280"/>
      <c r="B332" s="720"/>
      <c r="C332" s="676"/>
      <c r="D332" s="324"/>
      <c r="E332" s="1053"/>
      <c r="F332" s="535"/>
      <c r="G332" s="535"/>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row>
    <row r="333" spans="1:46" ht="18.649999999999999" customHeight="1">
      <c r="A333" s="1280"/>
      <c r="B333" s="720"/>
      <c r="C333" s="676"/>
      <c r="D333" s="324"/>
      <c r="E333" s="1053"/>
      <c r="F333" s="535"/>
      <c r="G333" s="535"/>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row>
    <row r="334" spans="1:46" ht="18.649999999999999" customHeight="1">
      <c r="A334" s="1280"/>
      <c r="B334" s="720"/>
      <c r="C334" s="676"/>
      <c r="D334" s="324"/>
      <c r="E334" s="1053"/>
      <c r="F334" s="535"/>
      <c r="G334" s="535"/>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row>
    <row r="335" spans="1:46" ht="18.649999999999999" customHeight="1">
      <c r="A335" s="1280"/>
      <c r="B335" s="720"/>
      <c r="C335" s="676"/>
      <c r="D335" s="324"/>
      <c r="E335" s="1053"/>
      <c r="F335" s="535"/>
      <c r="G335" s="535"/>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row>
    <row r="336" spans="1:46" ht="18.649999999999999" customHeight="1">
      <c r="A336" s="1280"/>
      <c r="B336" s="720"/>
      <c r="C336" s="676"/>
      <c r="D336" s="324"/>
      <c r="E336" s="1053"/>
      <c r="F336" s="535"/>
      <c r="G336" s="535"/>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row>
    <row r="337" spans="1:46" ht="18.649999999999999" customHeight="1">
      <c r="A337" s="1280"/>
      <c r="B337" s="720"/>
      <c r="C337" s="676"/>
      <c r="D337" s="324"/>
      <c r="E337" s="1053"/>
      <c r="F337" s="535"/>
      <c r="G337" s="535"/>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row>
    <row r="338" spans="1:46" ht="18.649999999999999" customHeight="1">
      <c r="A338" s="1280"/>
      <c r="B338" s="720"/>
      <c r="C338" s="676"/>
      <c r="D338" s="324"/>
      <c r="E338" s="1053"/>
      <c r="F338" s="535"/>
      <c r="G338" s="535"/>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row>
    <row r="339" spans="1:46" ht="18.649999999999999" customHeight="1">
      <c r="A339" s="1280"/>
      <c r="B339" s="720"/>
      <c r="C339" s="676"/>
      <c r="D339" s="324"/>
      <c r="E339" s="1053"/>
      <c r="F339" s="535"/>
      <c r="G339" s="535"/>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row>
    <row r="340" spans="1:46" ht="18.649999999999999" customHeight="1">
      <c r="A340" s="1280"/>
      <c r="B340" s="720"/>
      <c r="C340" s="676"/>
      <c r="D340" s="324"/>
      <c r="E340" s="1053"/>
      <c r="F340" s="535"/>
      <c r="G340" s="535"/>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row>
    <row r="341" spans="1:46" ht="18.649999999999999" customHeight="1" thickBot="1">
      <c r="A341" s="1281"/>
      <c r="B341" s="720"/>
      <c r="C341" s="755"/>
      <c r="D341" s="543"/>
      <c r="E341" s="1053"/>
      <c r="F341" s="535"/>
      <c r="G341" s="535"/>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row>
    <row r="342" spans="1:46" ht="23.9" customHeight="1" thickBot="1">
      <c r="B342" s="427"/>
      <c r="C342" s="340" t="s">
        <v>255</v>
      </c>
      <c r="D342" s="428" t="s">
        <v>104</v>
      </c>
      <c r="E342" s="608"/>
      <c r="F342" s="29"/>
      <c r="G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row>
    <row r="343" spans="1:46" ht="19.5" customHeight="1">
      <c r="A343" s="1279" t="s">
        <v>2548</v>
      </c>
      <c r="B343" s="560"/>
      <c r="C343" s="756"/>
      <c r="D343" s="453"/>
      <c r="E343" s="29"/>
      <c r="F343" s="535"/>
      <c r="G343" s="535"/>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row>
    <row r="344" spans="1:46" ht="19.5" customHeight="1">
      <c r="A344" s="1280"/>
      <c r="B344" s="546"/>
      <c r="C344" s="756"/>
      <c r="D344" s="324"/>
      <c r="E344" s="1053"/>
      <c r="F344" s="535"/>
      <c r="G344" s="535"/>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row>
    <row r="345" spans="1:46" ht="19.5" customHeight="1">
      <c r="A345" s="1280"/>
      <c r="B345" s="546"/>
      <c r="C345" s="756"/>
      <c r="D345" s="324"/>
      <c r="E345" s="1053"/>
      <c r="F345" s="535"/>
      <c r="G345" s="535"/>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row>
    <row r="346" spans="1:46" ht="19.5" customHeight="1">
      <c r="A346" s="1280"/>
      <c r="B346" s="546"/>
      <c r="C346" s="756"/>
      <c r="D346" s="324"/>
      <c r="E346" s="1053"/>
      <c r="F346" s="535"/>
      <c r="G346" s="535"/>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row>
    <row r="347" spans="1:46" ht="19.5" customHeight="1">
      <c r="A347" s="1280"/>
      <c r="B347" s="546"/>
      <c r="C347" s="756"/>
      <c r="D347" s="324"/>
      <c r="E347" s="1053"/>
      <c r="F347" s="535"/>
      <c r="G347" s="535"/>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row>
    <row r="348" spans="1:46" ht="19.5" customHeight="1">
      <c r="A348" s="1280"/>
      <c r="B348" s="546"/>
      <c r="C348" s="756"/>
      <c r="D348" s="324"/>
      <c r="E348" s="1053"/>
      <c r="F348" s="535"/>
      <c r="G348" s="535"/>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row>
    <row r="349" spans="1:46" ht="19.5" customHeight="1">
      <c r="A349" s="1280"/>
      <c r="B349" s="546"/>
      <c r="C349" s="756"/>
      <c r="D349" s="324"/>
      <c r="E349" s="1053"/>
      <c r="F349" s="535"/>
      <c r="G349" s="535"/>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row>
    <row r="350" spans="1:46" ht="19.5" customHeight="1">
      <c r="A350" s="1280"/>
      <c r="B350" s="546"/>
      <c r="C350" s="756"/>
      <c r="D350" s="324"/>
      <c r="E350" s="1053"/>
      <c r="F350" s="535"/>
      <c r="G350" s="535"/>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row>
    <row r="351" spans="1:46" ht="19.5" customHeight="1">
      <c r="A351" s="1280"/>
      <c r="B351" s="546"/>
      <c r="C351" s="756"/>
      <c r="D351" s="324"/>
      <c r="E351" s="1053"/>
      <c r="F351" s="535"/>
      <c r="G351" s="535"/>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row>
    <row r="352" spans="1:46" ht="19.5" customHeight="1" thickBot="1">
      <c r="A352" s="1281"/>
      <c r="B352" s="561"/>
      <c r="C352" s="756"/>
      <c r="D352" s="324"/>
      <c r="E352" s="1054"/>
      <c r="F352" s="535"/>
      <c r="G352" s="535"/>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row>
    <row r="353" spans="1:46" ht="16" thickBot="1">
      <c r="B353" s="392"/>
      <c r="C353" s="392" t="s">
        <v>256</v>
      </c>
      <c r="D353" s="454" t="s">
        <v>104</v>
      </c>
      <c r="E353" s="901" t="s">
        <v>88</v>
      </c>
      <c r="F353" s="29"/>
      <c r="G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row>
    <row r="354" spans="1:46" ht="18.649999999999999" customHeight="1">
      <c r="A354" s="1193" t="s">
        <v>2571</v>
      </c>
      <c r="B354" s="450"/>
      <c r="C354" s="556"/>
      <c r="D354" s="413"/>
      <c r="E354" s="324"/>
      <c r="F354" s="535"/>
      <c r="G354" s="535"/>
      <c r="H354" s="535"/>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row>
    <row r="355" spans="1:46" ht="18.649999999999999" customHeight="1">
      <c r="A355" s="1196"/>
      <c r="B355" s="450"/>
      <c r="C355" s="556"/>
      <c r="D355" s="367"/>
      <c r="E355" s="324"/>
      <c r="F355" s="535"/>
      <c r="G355" s="535"/>
      <c r="H355" s="535"/>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row>
    <row r="356" spans="1:46" ht="18.649999999999999" customHeight="1">
      <c r="A356" s="1196"/>
      <c r="B356" s="450"/>
      <c r="C356" s="556"/>
      <c r="D356" s="367"/>
      <c r="E356" s="324"/>
      <c r="F356" s="535"/>
      <c r="G356" s="535"/>
      <c r="H356" s="535"/>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row>
    <row r="357" spans="1:46" ht="18.649999999999999" customHeight="1">
      <c r="A357" s="1196"/>
      <c r="B357" s="450"/>
      <c r="C357" s="556"/>
      <c r="D357" s="367"/>
      <c r="E357" s="324"/>
      <c r="F357" s="535"/>
      <c r="G357" s="535"/>
      <c r="H357" s="535"/>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row>
    <row r="358" spans="1:46" ht="18.649999999999999" customHeight="1">
      <c r="A358" s="1196"/>
      <c r="B358" s="450"/>
      <c r="C358" s="556"/>
      <c r="D358" s="367"/>
      <c r="E358" s="324"/>
      <c r="F358" s="535"/>
      <c r="G358" s="535"/>
      <c r="H358" s="535"/>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row>
    <row r="359" spans="1:46" ht="18.649999999999999" customHeight="1">
      <c r="A359" s="1196"/>
      <c r="B359" s="450"/>
      <c r="C359" s="556"/>
      <c r="D359" s="367"/>
      <c r="E359" s="324"/>
      <c r="F359" s="535"/>
      <c r="G359" s="535"/>
      <c r="H359" s="535"/>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row>
    <row r="360" spans="1:46" ht="18.649999999999999" customHeight="1">
      <c r="A360" s="1196"/>
      <c r="B360" s="546"/>
      <c r="C360" s="556"/>
      <c r="D360" s="367"/>
      <c r="E360" s="324"/>
      <c r="F360" s="535"/>
      <c r="G360" s="535"/>
      <c r="H360" s="535"/>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row>
    <row r="361" spans="1:46" ht="18.649999999999999" customHeight="1">
      <c r="A361" s="1196"/>
      <c r="B361" s="450"/>
      <c r="C361" s="556"/>
      <c r="D361" s="367"/>
      <c r="E361" s="324"/>
      <c r="F361" s="535"/>
      <c r="G361" s="535"/>
      <c r="H361" s="535"/>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row>
    <row r="362" spans="1:46" ht="18.649999999999999" customHeight="1">
      <c r="A362" s="1196"/>
      <c r="B362" s="450"/>
      <c r="C362" s="556"/>
      <c r="D362" s="367"/>
      <c r="E362" s="324"/>
      <c r="F362" s="535"/>
      <c r="G362" s="535"/>
      <c r="H362" s="535"/>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row>
    <row r="363" spans="1:46" ht="18.649999999999999" customHeight="1">
      <c r="A363" s="1196"/>
      <c r="B363" s="450"/>
      <c r="C363" s="556"/>
      <c r="D363" s="367"/>
      <c r="E363" s="324"/>
      <c r="F363" s="535"/>
      <c r="G363" s="535"/>
      <c r="H363" s="535"/>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row>
    <row r="364" spans="1:46" ht="18.649999999999999" customHeight="1">
      <c r="A364" s="1196"/>
      <c r="B364" s="450"/>
      <c r="C364" s="556"/>
      <c r="D364" s="367"/>
      <c r="E364" s="324"/>
      <c r="F364" s="535"/>
      <c r="G364" s="535"/>
      <c r="H364" s="535"/>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row>
    <row r="365" spans="1:46" ht="18.649999999999999" customHeight="1" thickBot="1">
      <c r="A365" s="1199"/>
      <c r="B365" s="451"/>
      <c r="C365" s="556"/>
      <c r="D365" s="367"/>
      <c r="E365" s="324"/>
      <c r="F365" s="535"/>
      <c r="G365" s="535"/>
      <c r="H365" s="535"/>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row>
    <row r="366" spans="1:46" ht="18.649999999999999" customHeight="1" thickBot="1">
      <c r="A366" s="1279" t="s">
        <v>2549</v>
      </c>
      <c r="B366" s="450"/>
      <c r="C366" s="929" t="s">
        <v>258</v>
      </c>
      <c r="D366" s="929" t="s">
        <v>104</v>
      </c>
      <c r="E366" s="930" t="s">
        <v>105</v>
      </c>
      <c r="F366" s="948"/>
      <c r="G366" s="948"/>
      <c r="H366" s="535"/>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row>
    <row r="367" spans="1:46" ht="18.649999999999999" customHeight="1">
      <c r="A367" s="1280"/>
      <c r="B367" s="450"/>
      <c r="C367" s="556"/>
      <c r="D367" s="556"/>
      <c r="E367" s="453"/>
      <c r="F367" s="948"/>
      <c r="G367" s="948"/>
      <c r="H367" s="535"/>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row>
    <row r="368" spans="1:46" ht="18.649999999999999" customHeight="1">
      <c r="A368" s="1280"/>
      <c r="B368" s="450"/>
      <c r="C368" s="556"/>
      <c r="D368" s="556"/>
      <c r="E368" s="453"/>
      <c r="F368" s="948"/>
      <c r="G368" s="948"/>
      <c r="H368" s="535"/>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row>
    <row r="369" spans="1:46" ht="18.649999999999999" customHeight="1">
      <c r="A369" s="1280"/>
      <c r="B369" s="450"/>
      <c r="C369" s="175"/>
      <c r="D369" s="175"/>
      <c r="E369" s="324"/>
      <c r="F369" s="948"/>
      <c r="G369" s="948"/>
      <c r="H369" s="535"/>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row>
    <row r="370" spans="1:46" ht="18.649999999999999" customHeight="1" thickBot="1">
      <c r="A370" s="1281"/>
      <c r="B370" s="451"/>
      <c r="C370" s="557"/>
      <c r="D370" s="557"/>
      <c r="E370" s="449"/>
      <c r="F370" s="948"/>
      <c r="G370" s="948"/>
      <c r="H370" s="535"/>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row>
    <row r="371" spans="1:46" ht="16" thickBot="1">
      <c r="B371" s="1258" t="s">
        <v>167</v>
      </c>
      <c r="C371" s="1259"/>
      <c r="D371" s="1273"/>
      <c r="E371" s="29"/>
      <c r="F371" s="29"/>
      <c r="G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row>
    <row r="372" spans="1:46" ht="16" thickBot="1">
      <c r="A372" s="1193" t="s">
        <v>2542</v>
      </c>
      <c r="B372" s="580"/>
      <c r="C372" s="890" t="s">
        <v>168</v>
      </c>
      <c r="D372" s="544" t="s">
        <v>169</v>
      </c>
      <c r="E372" s="29"/>
      <c r="F372" s="29"/>
      <c r="G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row>
    <row r="373" spans="1:46" ht="15" customHeight="1">
      <c r="A373" s="1196"/>
      <c r="B373" s="560"/>
      <c r="C373" s="175"/>
      <c r="D373" s="573"/>
      <c r="E373" s="535"/>
      <c r="F373" s="535"/>
      <c r="G373" s="535"/>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row>
    <row r="374" spans="1:46">
      <c r="A374" s="1196"/>
      <c r="B374" s="546"/>
      <c r="C374" s="175"/>
      <c r="D374" s="324"/>
      <c r="E374" s="535"/>
      <c r="F374" s="535"/>
      <c r="G374" s="535"/>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row>
    <row r="375" spans="1:46">
      <c r="A375" s="1196"/>
      <c r="B375" s="546"/>
      <c r="C375" s="175"/>
      <c r="D375" s="324"/>
      <c r="E375" s="535"/>
      <c r="F375" s="535"/>
      <c r="G375" s="535"/>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row>
    <row r="376" spans="1:46">
      <c r="A376" s="1196"/>
      <c r="B376" s="546"/>
      <c r="C376" s="175"/>
      <c r="D376" s="324"/>
      <c r="E376" s="535"/>
      <c r="F376" s="535"/>
      <c r="G376" s="535"/>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row>
    <row r="377" spans="1:46">
      <c r="A377" s="1196"/>
      <c r="B377" s="546"/>
      <c r="C377" s="175"/>
      <c r="D377" s="324"/>
      <c r="E377" s="535"/>
      <c r="F377" s="535"/>
      <c r="G377" s="535"/>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row>
    <row r="378" spans="1:46">
      <c r="A378" s="1196"/>
      <c r="B378" s="546"/>
      <c r="C378" s="175"/>
      <c r="D378" s="324"/>
      <c r="E378" s="535"/>
      <c r="F378" s="535"/>
      <c r="G378" s="535"/>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row>
    <row r="379" spans="1:46">
      <c r="A379" s="1196"/>
      <c r="B379" s="546"/>
      <c r="C379" s="175"/>
      <c r="D379" s="324"/>
      <c r="E379" s="535"/>
      <c r="F379" s="535"/>
      <c r="G379" s="535"/>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row>
    <row r="380" spans="1:46">
      <c r="A380" s="1196"/>
      <c r="B380" s="546"/>
      <c r="C380" s="175"/>
      <c r="D380" s="324"/>
      <c r="E380" s="535"/>
      <c r="F380" s="535"/>
      <c r="G380" s="535"/>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row>
    <row r="381" spans="1:46">
      <c r="A381" s="1196"/>
      <c r="B381" s="546"/>
      <c r="C381" s="175"/>
      <c r="D381" s="324"/>
      <c r="E381" s="535"/>
      <c r="F381" s="535"/>
      <c r="G381" s="535"/>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row>
    <row r="382" spans="1:46" ht="15" thickBot="1">
      <c r="A382" s="1196"/>
      <c r="B382" s="561"/>
      <c r="C382" s="175"/>
      <c r="D382" s="449"/>
      <c r="E382" s="29"/>
      <c r="F382" s="29"/>
      <c r="G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row>
    <row r="383" spans="1:46" ht="16" thickBot="1">
      <c r="B383" s="1247" t="s">
        <v>265</v>
      </c>
      <c r="C383" s="1259"/>
      <c r="D383" s="1248"/>
      <c r="E383" s="29"/>
      <c r="F383" s="29"/>
      <c r="G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row>
    <row r="384" spans="1:46" ht="19" thickBot="1">
      <c r="A384" s="1279" t="s">
        <v>313</v>
      </c>
      <c r="B384" s="578"/>
      <c r="C384" s="590" t="s">
        <v>172</v>
      </c>
      <c r="D384" s="454" t="s">
        <v>169</v>
      </c>
      <c r="E384" s="29"/>
      <c r="F384" s="29"/>
      <c r="G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row>
    <row r="385" spans="1:46" ht="15" customHeight="1">
      <c r="A385" s="1280"/>
      <c r="B385" s="450"/>
      <c r="C385" s="759"/>
      <c r="D385" s="453"/>
      <c r="E385" s="535"/>
      <c r="F385" s="535"/>
      <c r="G385" s="535"/>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row>
    <row r="386" spans="1:46">
      <c r="A386" s="1280"/>
      <c r="B386" s="450"/>
      <c r="C386" s="760"/>
      <c r="D386" s="324"/>
      <c r="E386" s="535"/>
      <c r="F386" s="535"/>
      <c r="G386" s="535"/>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row>
    <row r="387" spans="1:46">
      <c r="A387" s="1280"/>
      <c r="B387" s="450"/>
      <c r="C387" s="760"/>
      <c r="D387" s="324"/>
      <c r="E387" s="535"/>
      <c r="F387" s="535"/>
      <c r="G387" s="535"/>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row>
    <row r="388" spans="1:46">
      <c r="A388" s="1280"/>
      <c r="B388" s="450"/>
      <c r="C388" s="760"/>
      <c r="D388" s="324"/>
      <c r="E388" s="535"/>
      <c r="F388" s="535"/>
      <c r="G388" s="535"/>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row>
    <row r="389" spans="1:46">
      <c r="A389" s="1280"/>
      <c r="B389" s="450"/>
      <c r="C389" s="760"/>
      <c r="D389" s="324"/>
      <c r="E389" s="535"/>
      <c r="F389" s="535"/>
      <c r="G389" s="535"/>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row>
    <row r="390" spans="1:46">
      <c r="A390" s="1280"/>
      <c r="B390" s="450"/>
      <c r="C390" s="760"/>
      <c r="D390" s="324"/>
      <c r="E390" s="535"/>
      <c r="F390" s="535"/>
      <c r="G390" s="535"/>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row>
    <row r="391" spans="1:46">
      <c r="A391" s="1280"/>
      <c r="B391" s="450"/>
      <c r="C391" s="760"/>
      <c r="D391" s="324"/>
      <c r="E391" s="535"/>
      <c r="F391" s="535"/>
      <c r="G391" s="535"/>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row>
    <row r="392" spans="1:46">
      <c r="A392" s="1280"/>
      <c r="B392" s="450"/>
      <c r="C392" s="760"/>
      <c r="D392" s="324"/>
      <c r="E392" s="535"/>
      <c r="F392" s="535"/>
      <c r="G392" s="535"/>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row>
    <row r="393" spans="1:46" ht="15" thickBot="1">
      <c r="A393" s="1281"/>
      <c r="B393" s="451"/>
      <c r="C393" s="761"/>
      <c r="D393" s="449"/>
      <c r="E393" s="535"/>
      <c r="F393" s="535"/>
      <c r="G393" s="535"/>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row>
    <row r="394" spans="1:46" ht="15" thickBot="1">
      <c r="B394" s="29"/>
      <c r="C394" s="29"/>
      <c r="D394" s="29"/>
      <c r="E394" s="536"/>
      <c r="F394" s="29"/>
      <c r="G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row>
    <row r="395" spans="1:46" ht="72.650000000000006" customHeight="1" thickBot="1">
      <c r="A395" s="1279" t="s">
        <v>332</v>
      </c>
      <c r="B395" s="29"/>
      <c r="C395" s="29"/>
      <c r="D395" s="29"/>
      <c r="E395" s="536"/>
      <c r="F395" s="29"/>
      <c r="G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row>
    <row r="396" spans="1:46" ht="24" customHeight="1" thickBot="1">
      <c r="A396" s="1281"/>
      <c r="B396" s="1255" t="s">
        <v>2577</v>
      </c>
      <c r="C396" s="1256"/>
      <c r="D396" s="1257"/>
      <c r="E396" s="29"/>
      <c r="F396" s="29"/>
      <c r="G396" s="29"/>
      <c r="I396" s="1255" t="s">
        <v>2579</v>
      </c>
      <c r="J396" s="1256"/>
      <c r="K396" s="1257"/>
      <c r="N396" s="1255" t="s">
        <v>2578</v>
      </c>
      <c r="O396" s="1256"/>
      <c r="P396" s="1257"/>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row>
    <row r="397" spans="1:46">
      <c r="A397" s="1033"/>
      <c r="B397" s="29"/>
      <c r="C397" s="29"/>
      <c r="D397" s="467"/>
      <c r="E397" s="536"/>
      <c r="F397" s="29"/>
      <c r="G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row>
    <row r="398" spans="1:46" ht="15" thickBot="1">
      <c r="A398" s="1033"/>
      <c r="B398" s="29"/>
      <c r="C398" s="29"/>
      <c r="D398" s="29"/>
      <c r="E398" s="536"/>
      <c r="F398" s="29"/>
      <c r="G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row>
    <row r="399" spans="1:46" ht="19" thickBot="1">
      <c r="B399" s="692" t="s">
        <v>222</v>
      </c>
      <c r="C399" s="693" t="s">
        <v>19</v>
      </c>
      <c r="D399" s="694" t="s">
        <v>20</v>
      </c>
      <c r="E399" s="29"/>
      <c r="F399" s="29"/>
      <c r="G399" s="29"/>
      <c r="I399" s="692" t="s">
        <v>222</v>
      </c>
      <c r="J399" s="693" t="s">
        <v>19</v>
      </c>
      <c r="K399" s="694" t="s">
        <v>20</v>
      </c>
      <c r="N399" s="692" t="s">
        <v>222</v>
      </c>
      <c r="O399" s="693" t="s">
        <v>19</v>
      </c>
      <c r="P399" s="694" t="s">
        <v>20</v>
      </c>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row>
    <row r="400" spans="1:46" ht="46.4" customHeight="1" thickBot="1">
      <c r="A400" s="1028" t="s">
        <v>2550</v>
      </c>
      <c r="B400" s="569" t="s">
        <v>333</v>
      </c>
      <c r="C400" s="568" t="s">
        <v>299</v>
      </c>
      <c r="D400" s="570"/>
      <c r="E400" s="29"/>
      <c r="F400" s="29"/>
      <c r="G400" s="29"/>
      <c r="I400" s="569" t="s">
        <v>333</v>
      </c>
      <c r="J400" s="568" t="s">
        <v>299</v>
      </c>
      <c r="K400" s="570"/>
      <c r="N400" s="569" t="s">
        <v>333</v>
      </c>
      <c r="O400" s="568" t="s">
        <v>299</v>
      </c>
      <c r="P400" s="570"/>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row>
    <row r="401" spans="1:46" ht="30" customHeight="1" thickBot="1">
      <c r="A401" s="1012" t="s">
        <v>334</v>
      </c>
      <c r="B401" s="571" t="s">
        <v>335</v>
      </c>
      <c r="C401" s="400" t="s">
        <v>135</v>
      </c>
      <c r="D401" s="424"/>
      <c r="E401" s="29"/>
      <c r="F401" s="29"/>
      <c r="G401" s="29"/>
      <c r="I401" s="571" t="s">
        <v>335</v>
      </c>
      <c r="J401" s="400" t="s">
        <v>135</v>
      </c>
      <c r="K401" s="424"/>
      <c r="N401" s="571" t="s">
        <v>335</v>
      </c>
      <c r="O401" s="400" t="s">
        <v>135</v>
      </c>
      <c r="P401" s="424"/>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row>
    <row r="402" spans="1:46" ht="86.15" customHeight="1" thickBot="1">
      <c r="A402" s="1022" t="s">
        <v>2551</v>
      </c>
      <c r="B402" s="571" t="s">
        <v>336</v>
      </c>
      <c r="C402" s="400" t="s">
        <v>337</v>
      </c>
      <c r="D402" s="424"/>
      <c r="E402" s="29"/>
      <c r="F402" s="675"/>
      <c r="G402" s="675"/>
      <c r="I402" s="873" t="s">
        <v>336</v>
      </c>
      <c r="J402" s="400" t="s">
        <v>337</v>
      </c>
      <c r="K402" s="424"/>
      <c r="N402" s="873" t="s">
        <v>336</v>
      </c>
      <c r="O402" s="400" t="s">
        <v>337</v>
      </c>
      <c r="P402" s="424"/>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row>
    <row r="403" spans="1:46" ht="23.5" customHeight="1" thickBot="1">
      <c r="A403" s="1026" t="s">
        <v>338</v>
      </c>
      <c r="B403" s="571" t="s">
        <v>339</v>
      </c>
      <c r="C403" s="400" t="s">
        <v>36</v>
      </c>
      <c r="D403" s="572"/>
      <c r="E403" s="29"/>
      <c r="F403" s="29"/>
      <c r="G403" s="29"/>
      <c r="I403" s="571" t="s">
        <v>339</v>
      </c>
      <c r="J403" s="400" t="s">
        <v>36</v>
      </c>
      <c r="K403" s="572"/>
      <c r="N403" s="571" t="s">
        <v>339</v>
      </c>
      <c r="O403" s="400" t="s">
        <v>36</v>
      </c>
      <c r="P403" s="572"/>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row>
    <row r="404" spans="1:46" ht="23.5" customHeight="1" thickBot="1">
      <c r="A404" s="1027" t="s">
        <v>342</v>
      </c>
      <c r="B404" s="571" t="s">
        <v>343</v>
      </c>
      <c r="C404" s="400"/>
      <c r="D404" s="572"/>
      <c r="E404" s="29"/>
      <c r="F404" s="29"/>
      <c r="G404" s="29"/>
      <c r="I404" s="571" t="s">
        <v>343</v>
      </c>
      <c r="J404" s="400"/>
      <c r="K404" s="572"/>
      <c r="N404" s="571" t="s">
        <v>343</v>
      </c>
      <c r="O404" s="400"/>
      <c r="P404" s="572"/>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row>
    <row r="405" spans="1:46" ht="49.4" customHeight="1" thickBot="1">
      <c r="A405" s="1029" t="s">
        <v>344</v>
      </c>
      <c r="B405" s="874" t="s">
        <v>228</v>
      </c>
      <c r="C405" s="326" t="s">
        <v>135</v>
      </c>
      <c r="D405" s="423"/>
      <c r="E405" s="29"/>
      <c r="F405" s="468"/>
      <c r="G405" s="468"/>
      <c r="I405" s="874" t="s">
        <v>228</v>
      </c>
      <c r="J405" s="326" t="s">
        <v>135</v>
      </c>
      <c r="K405" s="572"/>
      <c r="N405" s="874" t="s">
        <v>228</v>
      </c>
      <c r="O405" s="326" t="s">
        <v>135</v>
      </c>
      <c r="P405" s="572"/>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row>
    <row r="406" spans="1:46" ht="90.65" customHeight="1" thickBot="1">
      <c r="A406" s="1028" t="s">
        <v>2552</v>
      </c>
      <c r="B406" s="638" t="s">
        <v>229</v>
      </c>
      <c r="C406" s="326" t="s">
        <v>135</v>
      </c>
      <c r="D406" s="423"/>
      <c r="E406" s="29"/>
      <c r="F406" s="468"/>
      <c r="G406" s="468"/>
      <c r="I406" s="331" t="s">
        <v>229</v>
      </c>
      <c r="J406" s="326" t="s">
        <v>135</v>
      </c>
      <c r="K406" s="572"/>
      <c r="N406" s="331" t="s">
        <v>229</v>
      </c>
      <c r="O406" s="326" t="s">
        <v>135</v>
      </c>
      <c r="P406" s="572"/>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row>
    <row r="407" spans="1:46" ht="33.65" customHeight="1">
      <c r="A407" s="1279" t="s">
        <v>230</v>
      </c>
      <c r="B407" s="638" t="s">
        <v>231</v>
      </c>
      <c r="C407" s="676"/>
      <c r="D407" s="424"/>
      <c r="E407" s="535"/>
      <c r="F407" s="535"/>
      <c r="G407" s="535"/>
      <c r="I407" s="331" t="s">
        <v>231</v>
      </c>
      <c r="J407" s="876"/>
      <c r="K407" s="424"/>
      <c r="N407" s="331" t="s">
        <v>231</v>
      </c>
      <c r="O407" s="676"/>
      <c r="P407" s="424"/>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row>
    <row r="408" spans="1:46" ht="20.149999999999999" customHeight="1">
      <c r="A408" s="1280"/>
      <c r="B408" s="638" t="s">
        <v>232</v>
      </c>
      <c r="C408" s="676"/>
      <c r="D408" s="424"/>
      <c r="E408" s="535"/>
      <c r="F408" s="535"/>
      <c r="G408" s="535"/>
      <c r="I408" s="331" t="s">
        <v>232</v>
      </c>
      <c r="J408" s="676"/>
      <c r="K408" s="424"/>
      <c r="N408" s="331" t="s">
        <v>232</v>
      </c>
      <c r="O408" s="676"/>
      <c r="P408" s="424"/>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row>
    <row r="409" spans="1:46" ht="20.149999999999999" customHeight="1" thickBot="1">
      <c r="A409" s="1281"/>
      <c r="B409" s="638" t="s">
        <v>233</v>
      </c>
      <c r="C409" s="676"/>
      <c r="D409" s="424"/>
      <c r="E409" s="535"/>
      <c r="F409" s="535"/>
      <c r="G409" s="535"/>
      <c r="I409" s="331" t="s">
        <v>233</v>
      </c>
      <c r="J409" s="676"/>
      <c r="K409" s="424"/>
      <c r="N409" s="331" t="s">
        <v>233</v>
      </c>
      <c r="O409" s="676"/>
      <c r="P409" s="424"/>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row>
    <row r="410" spans="1:46" ht="20.149999999999999" customHeight="1">
      <c r="A410" s="1279" t="s">
        <v>2526</v>
      </c>
      <c r="B410" s="638" t="s">
        <v>234</v>
      </c>
      <c r="C410" s="676"/>
      <c r="D410" s="424"/>
      <c r="E410" s="1058"/>
      <c r="F410" s="1058"/>
      <c r="G410" s="1058"/>
      <c r="I410" s="331" t="s">
        <v>234</v>
      </c>
      <c r="J410" s="676"/>
      <c r="K410" s="424"/>
      <c r="N410" s="331" t="s">
        <v>234</v>
      </c>
      <c r="O410" s="676"/>
      <c r="P410" s="424"/>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row>
    <row r="411" spans="1:46" ht="20.149999999999999" customHeight="1" thickBot="1">
      <c r="A411" s="1281"/>
      <c r="B411" s="638" t="s">
        <v>235</v>
      </c>
      <c r="C411" s="676"/>
      <c r="D411" s="424"/>
      <c r="E411" s="1058"/>
      <c r="F411" s="1058"/>
      <c r="G411" s="1058"/>
      <c r="I411" s="331" t="s">
        <v>235</v>
      </c>
      <c r="J411" s="676"/>
      <c r="K411" s="424"/>
      <c r="N411" s="331" t="s">
        <v>235</v>
      </c>
      <c r="O411" s="676"/>
      <c r="P411" s="424"/>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row>
    <row r="412" spans="1:46" ht="34.5" customHeight="1" thickBot="1">
      <c r="A412" s="931" t="s">
        <v>236</v>
      </c>
      <c r="B412" s="638" t="s">
        <v>237</v>
      </c>
      <c r="C412" s="326" t="s">
        <v>238</v>
      </c>
      <c r="D412" s="424"/>
      <c r="E412" s="535"/>
      <c r="F412" s="535"/>
      <c r="G412" s="535"/>
      <c r="I412" s="331" t="s">
        <v>237</v>
      </c>
      <c r="J412" s="326" t="s">
        <v>238</v>
      </c>
      <c r="K412" s="424"/>
      <c r="N412" s="331" t="s">
        <v>237</v>
      </c>
      <c r="O412" s="326" t="s">
        <v>238</v>
      </c>
      <c r="P412" s="424"/>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row>
    <row r="413" spans="1:46" ht="39.65" customHeight="1">
      <c r="A413" s="1279" t="s">
        <v>2553</v>
      </c>
      <c r="B413" s="638" t="s">
        <v>240</v>
      </c>
      <c r="C413" s="676"/>
      <c r="D413" s="424"/>
      <c r="E413" s="535"/>
      <c r="F413" s="535"/>
      <c r="G413" s="535"/>
      <c r="I413" s="874" t="s">
        <v>240</v>
      </c>
      <c r="J413" s="676"/>
      <c r="K413" s="424"/>
      <c r="N413" s="874" t="s">
        <v>240</v>
      </c>
      <c r="O413" s="676"/>
      <c r="P413" s="424"/>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row>
    <row r="414" spans="1:46" ht="36.65" customHeight="1">
      <c r="A414" s="1280"/>
      <c r="B414" s="638" t="s">
        <v>243</v>
      </c>
      <c r="C414" s="676"/>
      <c r="D414" s="424"/>
      <c r="E414" s="535"/>
      <c r="F414" s="535"/>
      <c r="G414" s="535"/>
      <c r="I414" s="874" t="s">
        <v>243</v>
      </c>
      <c r="J414" s="676"/>
      <c r="K414" s="424"/>
      <c r="N414" s="874" t="s">
        <v>243</v>
      </c>
      <c r="O414" s="676"/>
      <c r="P414" s="424"/>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row>
    <row r="415" spans="1:46" ht="35.5" customHeight="1" thickBot="1">
      <c r="A415" s="1281"/>
      <c r="B415" s="1035" t="s">
        <v>244</v>
      </c>
      <c r="C415" s="677"/>
      <c r="D415" s="567"/>
      <c r="E415" s="535"/>
      <c r="F415" s="535"/>
      <c r="G415" s="535"/>
      <c r="I415" s="875" t="s">
        <v>244</v>
      </c>
      <c r="J415" s="677"/>
      <c r="K415" s="567"/>
      <c r="N415" s="875" t="s">
        <v>244</v>
      </c>
      <c r="O415" s="677"/>
      <c r="P415" s="567"/>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row>
    <row r="416" spans="1:46" ht="20.149999999999999" customHeight="1" thickBot="1">
      <c r="B416" s="427" t="s">
        <v>245</v>
      </c>
      <c r="C416" s="340" t="s">
        <v>246</v>
      </c>
      <c r="D416" s="428" t="s">
        <v>104</v>
      </c>
      <c r="E416" s="29"/>
      <c r="F416" s="29"/>
      <c r="G416" s="29"/>
      <c r="I416" s="427" t="s">
        <v>245</v>
      </c>
      <c r="J416" s="340" t="s">
        <v>246</v>
      </c>
      <c r="K416" s="428" t="s">
        <v>104</v>
      </c>
      <c r="N416" s="427" t="s">
        <v>245</v>
      </c>
      <c r="O416" s="340" t="s">
        <v>246</v>
      </c>
      <c r="P416" s="428" t="s">
        <v>104</v>
      </c>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row>
    <row r="417" spans="1:46" ht="18" customHeight="1">
      <c r="A417" s="1193" t="s">
        <v>2554</v>
      </c>
      <c r="B417" s="720"/>
      <c r="C417" s="681"/>
      <c r="D417" s="453"/>
      <c r="E417" s="535"/>
      <c r="F417" s="535"/>
      <c r="G417" s="535"/>
      <c r="I417" s="720"/>
      <c r="J417" s="681"/>
      <c r="K417" s="453"/>
      <c r="N417" s="720"/>
      <c r="O417" s="681"/>
      <c r="P417" s="413"/>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row>
    <row r="418" spans="1:46" ht="18" customHeight="1">
      <c r="A418" s="1196"/>
      <c r="B418" s="720"/>
      <c r="C418" s="676"/>
      <c r="D418" s="324"/>
      <c r="E418" s="535"/>
      <c r="F418" s="535"/>
      <c r="G418" s="535"/>
      <c r="I418" s="720"/>
      <c r="J418" s="676"/>
      <c r="K418" s="367"/>
      <c r="N418" s="720"/>
      <c r="O418" s="676"/>
      <c r="P418" s="367"/>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row>
    <row r="419" spans="1:46" ht="18" customHeight="1">
      <c r="A419" s="1196"/>
      <c r="B419" s="720"/>
      <c r="C419" s="676"/>
      <c r="D419" s="324"/>
      <c r="E419" s="535"/>
      <c r="F419" s="535"/>
      <c r="G419" s="535"/>
      <c r="I419" s="720"/>
      <c r="J419" s="676"/>
      <c r="K419" s="367"/>
      <c r="N419" s="720"/>
      <c r="O419" s="676"/>
      <c r="P419" s="367"/>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row>
    <row r="420" spans="1:46" ht="18" customHeight="1">
      <c r="A420" s="1196"/>
      <c r="B420" s="720"/>
      <c r="C420" s="676"/>
      <c r="D420" s="324"/>
      <c r="E420" s="535"/>
      <c r="F420" s="535"/>
      <c r="G420" s="535"/>
      <c r="I420" s="720"/>
      <c r="J420" s="676"/>
      <c r="K420" s="367"/>
      <c r="N420" s="720"/>
      <c r="O420" s="676"/>
      <c r="P420" s="367"/>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row>
    <row r="421" spans="1:46" ht="18" customHeight="1">
      <c r="A421" s="1196"/>
      <c r="B421" s="720"/>
      <c r="C421" s="676"/>
      <c r="D421" s="324"/>
      <c r="E421" s="535"/>
      <c r="F421" s="535"/>
      <c r="G421" s="535"/>
      <c r="I421" s="720"/>
      <c r="J421" s="676"/>
      <c r="K421" s="367"/>
      <c r="N421" s="720"/>
      <c r="O421" s="676"/>
      <c r="P421" s="367"/>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row>
    <row r="422" spans="1:46" ht="18" customHeight="1">
      <c r="A422" s="1196"/>
      <c r="B422" s="720"/>
      <c r="C422" s="676"/>
      <c r="D422" s="324"/>
      <c r="E422" s="535"/>
      <c r="F422" s="535"/>
      <c r="G422" s="535"/>
      <c r="I422" s="720"/>
      <c r="J422" s="676"/>
      <c r="K422" s="367"/>
      <c r="N422" s="720"/>
      <c r="O422" s="676"/>
      <c r="P422" s="367"/>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row>
    <row r="423" spans="1:46" ht="18" customHeight="1">
      <c r="A423" s="1196"/>
      <c r="B423" s="720"/>
      <c r="C423" s="676"/>
      <c r="D423" s="324"/>
      <c r="E423" s="535"/>
      <c r="F423" s="535"/>
      <c r="G423" s="535"/>
      <c r="I423" s="720"/>
      <c r="J423" s="676"/>
      <c r="K423" s="367"/>
      <c r="N423" s="720"/>
      <c r="O423" s="676"/>
      <c r="P423" s="367"/>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row>
    <row r="424" spans="1:46" ht="18" customHeight="1">
      <c r="A424" s="1196"/>
      <c r="B424" s="720"/>
      <c r="C424" s="676"/>
      <c r="D424" s="324"/>
      <c r="E424" s="535"/>
      <c r="F424" s="535"/>
      <c r="G424" s="535"/>
      <c r="I424" s="720"/>
      <c r="J424" s="676"/>
      <c r="K424" s="367"/>
      <c r="N424" s="720"/>
      <c r="O424" s="676"/>
      <c r="P424" s="367"/>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row>
    <row r="425" spans="1:46" ht="18" customHeight="1">
      <c r="A425" s="1196"/>
      <c r="B425" s="720"/>
      <c r="C425" s="676"/>
      <c r="D425" s="324"/>
      <c r="E425" s="535"/>
      <c r="F425" s="535"/>
      <c r="G425" s="535"/>
      <c r="I425" s="720"/>
      <c r="J425" s="676"/>
      <c r="K425" s="367"/>
      <c r="N425" s="720"/>
      <c r="O425" s="676"/>
      <c r="P425" s="367"/>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row>
    <row r="426" spans="1:46" ht="18" customHeight="1">
      <c r="A426" s="1196"/>
      <c r="B426" s="720"/>
      <c r="C426" s="676"/>
      <c r="D426" s="324"/>
      <c r="E426" s="535"/>
      <c r="F426" s="535"/>
      <c r="G426" s="535"/>
      <c r="I426" s="720"/>
      <c r="J426" s="676"/>
      <c r="K426" s="367"/>
      <c r="N426" s="720"/>
      <c r="O426" s="676"/>
      <c r="P426" s="367"/>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row>
    <row r="427" spans="1:46" ht="18" customHeight="1">
      <c r="A427" s="1196"/>
      <c r="B427" s="720"/>
      <c r="C427" s="676"/>
      <c r="D427" s="324"/>
      <c r="E427" s="535"/>
      <c r="F427" s="535"/>
      <c r="G427" s="535"/>
      <c r="I427" s="720"/>
      <c r="J427" s="676"/>
      <c r="K427" s="367"/>
      <c r="N427" s="720"/>
      <c r="O427" s="676"/>
      <c r="P427" s="367"/>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row>
    <row r="428" spans="1:46" ht="18" customHeight="1">
      <c r="A428" s="1196"/>
      <c r="B428" s="720"/>
      <c r="C428" s="676"/>
      <c r="D428" s="324"/>
      <c r="E428" s="535"/>
      <c r="F428" s="535"/>
      <c r="G428" s="535"/>
      <c r="I428" s="720"/>
      <c r="J428" s="676"/>
      <c r="K428" s="367"/>
      <c r="N428" s="720"/>
      <c r="O428" s="676"/>
      <c r="P428" s="367"/>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row>
    <row r="429" spans="1:46" ht="18" customHeight="1">
      <c r="A429" s="1196"/>
      <c r="B429" s="720"/>
      <c r="C429" s="676"/>
      <c r="D429" s="324"/>
      <c r="E429" s="535"/>
      <c r="F429" s="535"/>
      <c r="G429" s="535"/>
      <c r="I429" s="720"/>
      <c r="J429" s="676"/>
      <c r="K429" s="367"/>
      <c r="N429" s="720"/>
      <c r="O429" s="676"/>
      <c r="P429" s="367"/>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row>
    <row r="430" spans="1:46" ht="18" customHeight="1" thickBot="1">
      <c r="A430" s="1199"/>
      <c r="B430" s="720"/>
      <c r="C430" s="755"/>
      <c r="D430" s="543"/>
      <c r="E430" s="535"/>
      <c r="F430" s="535"/>
      <c r="G430" s="535"/>
      <c r="I430" s="720"/>
      <c r="J430" s="755"/>
      <c r="K430" s="432"/>
      <c r="N430" s="720"/>
      <c r="O430" s="755"/>
      <c r="P430" s="432"/>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row>
    <row r="431" spans="1:46" ht="17.149999999999999" customHeight="1" thickBot="1">
      <c r="A431" s="1279" t="s">
        <v>2555</v>
      </c>
      <c r="B431" s="427"/>
      <c r="C431" s="340" t="s">
        <v>255</v>
      </c>
      <c r="D431" s="428" t="s">
        <v>104</v>
      </c>
      <c r="E431" s="535"/>
      <c r="F431" s="535"/>
      <c r="G431" s="535"/>
      <c r="I431" s="340"/>
      <c r="J431" s="340" t="s">
        <v>255</v>
      </c>
      <c r="K431" s="428" t="s">
        <v>104</v>
      </c>
      <c r="N431" s="427"/>
      <c r="O431" s="340" t="s">
        <v>255</v>
      </c>
      <c r="P431" s="428" t="s">
        <v>104</v>
      </c>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row>
    <row r="432" spans="1:46" ht="19.5" customHeight="1">
      <c r="A432" s="1280"/>
      <c r="B432" s="450"/>
      <c r="C432" s="748"/>
      <c r="D432" s="453"/>
      <c r="E432" s="535"/>
      <c r="F432" s="535"/>
      <c r="G432" s="535"/>
      <c r="I432" s="1040"/>
      <c r="J432" s="748"/>
      <c r="K432" s="453"/>
      <c r="N432" s="450"/>
      <c r="O432" s="748"/>
      <c r="P432" s="453"/>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row>
    <row r="433" spans="1:46" ht="19.5" customHeight="1">
      <c r="A433" s="1280"/>
      <c r="B433" s="450"/>
      <c r="C433" s="748"/>
      <c r="D433" s="324"/>
      <c r="E433" s="535"/>
      <c r="F433" s="535"/>
      <c r="G433" s="535"/>
      <c r="I433" s="1040"/>
      <c r="J433" s="748"/>
      <c r="K433" s="324"/>
      <c r="N433" s="450"/>
      <c r="O433" s="748"/>
      <c r="P433" s="324"/>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row>
    <row r="434" spans="1:46" ht="19.5" customHeight="1">
      <c r="A434" s="1280"/>
      <c r="B434" s="450"/>
      <c r="C434" s="748"/>
      <c r="D434" s="324"/>
      <c r="E434" s="535"/>
      <c r="F434" s="535"/>
      <c r="G434" s="535"/>
      <c r="I434" s="1040"/>
      <c r="J434" s="748"/>
      <c r="K434" s="324"/>
      <c r="N434" s="450"/>
      <c r="O434" s="748"/>
      <c r="P434" s="324"/>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row>
    <row r="435" spans="1:46" ht="19.5" customHeight="1">
      <c r="A435" s="1280"/>
      <c r="B435" s="450"/>
      <c r="C435" s="748"/>
      <c r="D435" s="324"/>
      <c r="E435" s="535"/>
      <c r="F435" s="535"/>
      <c r="G435" s="535"/>
      <c r="I435" s="1040"/>
      <c r="J435" s="748"/>
      <c r="K435" s="324"/>
      <c r="N435" s="450"/>
      <c r="O435" s="748"/>
      <c r="P435" s="324"/>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row>
    <row r="436" spans="1:46" ht="19.5" customHeight="1">
      <c r="A436" s="1280"/>
      <c r="B436" s="450"/>
      <c r="C436" s="748"/>
      <c r="D436" s="324"/>
      <c r="E436" s="535"/>
      <c r="F436" s="535"/>
      <c r="G436" s="535"/>
      <c r="I436" s="1040"/>
      <c r="J436" s="748"/>
      <c r="K436" s="324"/>
      <c r="N436" s="450"/>
      <c r="O436" s="748"/>
      <c r="P436" s="324"/>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row>
    <row r="437" spans="1:46" ht="19.5" customHeight="1">
      <c r="A437" s="1280"/>
      <c r="B437" s="450"/>
      <c r="C437" s="748"/>
      <c r="D437" s="324"/>
      <c r="E437" s="535"/>
      <c r="F437" s="535"/>
      <c r="G437" s="535"/>
      <c r="I437" s="1040"/>
      <c r="J437" s="748"/>
      <c r="K437" s="324"/>
      <c r="N437" s="450"/>
      <c r="O437" s="748"/>
      <c r="P437" s="324"/>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row>
    <row r="438" spans="1:46" ht="19.5" customHeight="1">
      <c r="A438" s="1280"/>
      <c r="B438" s="450"/>
      <c r="C438" s="748"/>
      <c r="D438" s="324"/>
      <c r="E438" s="535"/>
      <c r="F438" s="535"/>
      <c r="G438" s="535"/>
      <c r="I438" s="1040"/>
      <c r="J438" s="748"/>
      <c r="K438" s="324"/>
      <c r="N438" s="450"/>
      <c r="O438" s="748"/>
      <c r="P438" s="324"/>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row>
    <row r="439" spans="1:46" ht="19.5" customHeight="1">
      <c r="A439" s="1280"/>
      <c r="B439" s="450"/>
      <c r="C439" s="748"/>
      <c r="D439" s="324"/>
      <c r="E439" s="535"/>
      <c r="F439" s="535"/>
      <c r="G439" s="535"/>
      <c r="I439" s="1040"/>
      <c r="J439" s="748"/>
      <c r="K439" s="324"/>
      <c r="N439" s="450"/>
      <c r="O439" s="748"/>
      <c r="P439" s="324"/>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row>
    <row r="440" spans="1:46" ht="19.5" customHeight="1" thickBot="1">
      <c r="A440" s="1281"/>
      <c r="B440" s="451"/>
      <c r="C440" s="1047"/>
      <c r="D440" s="449"/>
      <c r="E440" s="1059"/>
      <c r="F440" s="535"/>
      <c r="G440" s="535"/>
      <c r="I440" s="1040"/>
      <c r="J440" s="909"/>
      <c r="K440" s="543"/>
      <c r="N440" s="450"/>
      <c r="O440" s="748"/>
      <c r="P440" s="543"/>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row>
    <row r="441" spans="1:46" ht="17.149999999999999" customHeight="1" thickBot="1">
      <c r="B441" s="392"/>
      <c r="C441" s="393" t="s">
        <v>256</v>
      </c>
      <c r="D441" s="454" t="s">
        <v>104</v>
      </c>
      <c r="E441" s="901" t="s">
        <v>88</v>
      </c>
      <c r="F441" s="535"/>
      <c r="G441" s="535"/>
      <c r="I441" s="392"/>
      <c r="J441" s="393" t="s">
        <v>256</v>
      </c>
      <c r="K441" s="454" t="s">
        <v>104</v>
      </c>
      <c r="L441" s="897" t="s">
        <v>88</v>
      </c>
      <c r="N441" s="392"/>
      <c r="O441" s="393" t="s">
        <v>256</v>
      </c>
      <c r="P441" s="454" t="s">
        <v>104</v>
      </c>
      <c r="Q441" s="897" t="s">
        <v>88</v>
      </c>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row>
    <row r="442" spans="1:46" ht="15.75" customHeight="1">
      <c r="A442" s="1279" t="s">
        <v>2570</v>
      </c>
      <c r="B442" s="450"/>
      <c r="C442" s="556"/>
      <c r="D442" s="902"/>
      <c r="E442" s="324"/>
      <c r="F442" s="535"/>
      <c r="G442" s="535"/>
      <c r="I442" s="450"/>
      <c r="J442" s="556"/>
      <c r="K442" s="902"/>
      <c r="L442" s="556"/>
      <c r="N442" s="450"/>
      <c r="O442" s="556"/>
      <c r="P442" s="550"/>
      <c r="Q442" s="556"/>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row>
    <row r="443" spans="1:46">
      <c r="A443" s="1280"/>
      <c r="B443" s="450"/>
      <c r="C443" s="556"/>
      <c r="D443" s="903"/>
      <c r="E443" s="1045"/>
      <c r="F443" s="535"/>
      <c r="G443" s="535"/>
      <c r="I443" s="450"/>
      <c r="J443" s="175"/>
      <c r="K443" s="903"/>
      <c r="L443" s="175"/>
      <c r="N443" s="450"/>
      <c r="O443" s="175"/>
      <c r="P443" s="548"/>
      <c r="Q443" s="175"/>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row>
    <row r="444" spans="1:46">
      <c r="A444" s="1280"/>
      <c r="B444" s="450"/>
      <c r="C444" s="556"/>
      <c r="D444" s="903"/>
      <c r="E444" s="1045"/>
      <c r="F444" s="535"/>
      <c r="G444" s="535"/>
      <c r="I444" s="450"/>
      <c r="J444" s="175"/>
      <c r="K444" s="903"/>
      <c r="L444" s="175"/>
      <c r="N444" s="450"/>
      <c r="O444" s="175"/>
      <c r="P444" s="548"/>
      <c r="Q444" s="175"/>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row>
    <row r="445" spans="1:46">
      <c r="A445" s="1280"/>
      <c r="B445" s="450"/>
      <c r="C445" s="556"/>
      <c r="D445" s="903"/>
      <c r="E445" s="1045"/>
      <c r="F445" s="535"/>
      <c r="G445" s="535"/>
      <c r="I445" s="450"/>
      <c r="J445" s="175"/>
      <c r="K445" s="903"/>
      <c r="L445" s="175"/>
      <c r="N445" s="450"/>
      <c r="O445" s="175"/>
      <c r="P445" s="548"/>
      <c r="Q445" s="175"/>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row>
    <row r="446" spans="1:46">
      <c r="A446" s="1280"/>
      <c r="B446" s="450"/>
      <c r="C446" s="556"/>
      <c r="D446" s="903"/>
      <c r="E446" s="1045"/>
      <c r="F446" s="535"/>
      <c r="G446" s="535"/>
      <c r="I446" s="450"/>
      <c r="J446" s="175"/>
      <c r="K446" s="903"/>
      <c r="L446" s="175"/>
      <c r="N446" s="450"/>
      <c r="O446" s="175"/>
      <c r="P446" s="548"/>
      <c r="Q446" s="175"/>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row>
    <row r="447" spans="1:46">
      <c r="A447" s="1280"/>
      <c r="B447" s="450"/>
      <c r="C447" s="556"/>
      <c r="D447" s="903"/>
      <c r="E447" s="1045"/>
      <c r="F447" s="535"/>
      <c r="G447" s="535"/>
      <c r="I447" s="450"/>
      <c r="J447" s="175"/>
      <c r="K447" s="903"/>
      <c r="L447" s="175"/>
      <c r="N447" s="450"/>
      <c r="O447" s="175"/>
      <c r="P447" s="548"/>
      <c r="Q447" s="175"/>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row>
    <row r="448" spans="1:46">
      <c r="A448" s="1280"/>
      <c r="B448" s="450"/>
      <c r="C448" s="556"/>
      <c r="D448" s="903"/>
      <c r="E448" s="1045"/>
      <c r="F448" s="535"/>
      <c r="G448" s="535"/>
      <c r="I448" s="450"/>
      <c r="J448" s="175"/>
      <c r="K448" s="903"/>
      <c r="L448" s="175"/>
      <c r="N448" s="450"/>
      <c r="O448" s="175"/>
      <c r="P448" s="548"/>
      <c r="Q448" s="175"/>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row>
    <row r="449" spans="1:46">
      <c r="A449" s="1280"/>
      <c r="B449" s="450"/>
      <c r="C449" s="556"/>
      <c r="D449" s="903"/>
      <c r="E449" s="1045"/>
      <c r="F449" s="535"/>
      <c r="G449" s="535"/>
      <c r="I449" s="450"/>
      <c r="J449" s="175"/>
      <c r="K449" s="903"/>
      <c r="L449" s="175"/>
      <c r="N449" s="450"/>
      <c r="O449" s="175"/>
      <c r="P449" s="548"/>
      <c r="Q449" s="175"/>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row>
    <row r="450" spans="1:46">
      <c r="A450" s="1280"/>
      <c r="B450" s="450"/>
      <c r="C450" s="556"/>
      <c r="D450" s="903"/>
      <c r="E450" s="1045"/>
      <c r="F450" s="535"/>
      <c r="G450" s="535"/>
      <c r="I450" s="450"/>
      <c r="J450" s="175"/>
      <c r="K450" s="903"/>
      <c r="L450" s="175"/>
      <c r="N450" s="450"/>
      <c r="O450" s="175"/>
      <c r="P450" s="548"/>
      <c r="Q450" s="175"/>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row>
    <row r="451" spans="1:46">
      <c r="A451" s="1280"/>
      <c r="B451" s="450"/>
      <c r="C451" s="556"/>
      <c r="D451" s="903"/>
      <c r="E451" s="1045"/>
      <c r="F451" s="535"/>
      <c r="G451" s="535"/>
      <c r="I451" s="450"/>
      <c r="J451" s="175"/>
      <c r="K451" s="903"/>
      <c r="L451" s="175"/>
      <c r="N451" s="450"/>
      <c r="O451" s="175"/>
      <c r="P451" s="548"/>
      <c r="Q451" s="175"/>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row>
    <row r="452" spans="1:46" ht="14.5" customHeight="1">
      <c r="A452" s="1280"/>
      <c r="B452" s="450"/>
      <c r="C452" s="556"/>
      <c r="D452" s="903"/>
      <c r="E452" s="1045"/>
      <c r="F452" s="535"/>
      <c r="G452" s="535"/>
      <c r="I452" s="450"/>
      <c r="J452" s="175"/>
      <c r="K452" s="903"/>
      <c r="L452" s="175"/>
      <c r="N452" s="450"/>
      <c r="O452" s="175"/>
      <c r="P452" s="548"/>
      <c r="Q452" s="175"/>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row>
    <row r="453" spans="1:46">
      <c r="A453" s="1280"/>
      <c r="B453" s="450"/>
      <c r="C453" s="556"/>
      <c r="D453" s="903"/>
      <c r="E453" s="1045"/>
      <c r="F453" s="535"/>
      <c r="G453" s="535"/>
      <c r="I453" s="450"/>
      <c r="J453" s="175"/>
      <c r="K453" s="903"/>
      <c r="L453" s="175"/>
      <c r="N453" s="450"/>
      <c r="O453" s="175"/>
      <c r="P453" s="548"/>
      <c r="Q453" s="175"/>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row>
    <row r="454" spans="1:46" ht="15" thickBot="1">
      <c r="A454" s="1281"/>
      <c r="B454" s="451"/>
      <c r="C454" s="556"/>
      <c r="D454" s="904"/>
      <c r="E454" s="1045"/>
      <c r="F454" s="535"/>
      <c r="G454" s="535"/>
      <c r="I454" s="451"/>
      <c r="J454" s="557"/>
      <c r="K454" s="904"/>
      <c r="L454" s="175"/>
      <c r="N454" s="451"/>
      <c r="O454" s="557"/>
      <c r="P454" s="549"/>
      <c r="Q454" s="175"/>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row>
    <row r="455" spans="1:46" ht="22.4" customHeight="1" thickBot="1">
      <c r="A455" s="1279" t="s">
        <v>2556</v>
      </c>
      <c r="B455" s="450"/>
      <c r="C455" s="929" t="s">
        <v>258</v>
      </c>
      <c r="D455" s="929" t="s">
        <v>104</v>
      </c>
      <c r="E455" s="930" t="s">
        <v>105</v>
      </c>
      <c r="F455" s="948"/>
      <c r="G455" s="948"/>
      <c r="I455" s="450"/>
      <c r="J455" s="929" t="s">
        <v>258</v>
      </c>
      <c r="K455" s="929" t="s">
        <v>104</v>
      </c>
      <c r="L455" s="930" t="s">
        <v>105</v>
      </c>
      <c r="N455" s="450"/>
      <c r="O455" s="929" t="s">
        <v>258</v>
      </c>
      <c r="P455" s="929" t="s">
        <v>104</v>
      </c>
      <c r="Q455" s="930" t="s">
        <v>105</v>
      </c>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row>
    <row r="456" spans="1:46">
      <c r="A456" s="1280"/>
      <c r="B456" s="450"/>
      <c r="C456" s="556"/>
      <c r="D456" s="556"/>
      <c r="E456" s="453"/>
      <c r="F456" s="948"/>
      <c r="G456" s="948"/>
      <c r="I456" s="450"/>
      <c r="J456" s="556"/>
      <c r="K456" s="556"/>
      <c r="L456" s="556"/>
      <c r="N456" s="450"/>
      <c r="O456" s="556"/>
      <c r="P456" s="556"/>
      <c r="Q456" s="556"/>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row>
    <row r="457" spans="1:46" ht="14.5" customHeight="1">
      <c r="A457" s="1280"/>
      <c r="B457" s="450"/>
      <c r="C457" s="556"/>
      <c r="D457" s="556"/>
      <c r="E457" s="453"/>
      <c r="F457" s="948"/>
      <c r="G457" s="948"/>
      <c r="I457" s="450"/>
      <c r="J457" s="175"/>
      <c r="K457" s="175"/>
      <c r="L457" s="175"/>
      <c r="N457" s="450"/>
      <c r="O457" s="175"/>
      <c r="P457" s="175"/>
      <c r="Q457" s="175"/>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row>
    <row r="458" spans="1:46">
      <c r="A458" s="1280"/>
      <c r="B458" s="450"/>
      <c r="C458" s="175"/>
      <c r="D458" s="175"/>
      <c r="E458" s="324"/>
      <c r="F458" s="948"/>
      <c r="G458" s="948"/>
      <c r="I458" s="450"/>
      <c r="J458" s="175"/>
      <c r="K458" s="175"/>
      <c r="L458" s="175"/>
      <c r="N458" s="450"/>
      <c r="O458" s="175"/>
      <c r="P458" s="175"/>
      <c r="Q458" s="175"/>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row>
    <row r="459" spans="1:46" ht="15" thickBot="1">
      <c r="A459" s="1281"/>
      <c r="B459" s="451"/>
      <c r="C459" s="557"/>
      <c r="D459" s="557"/>
      <c r="E459" s="449"/>
      <c r="F459" s="948"/>
      <c r="G459" s="948"/>
      <c r="I459" s="450"/>
      <c r="J459" s="175"/>
      <c r="K459" s="175"/>
      <c r="L459" s="175"/>
      <c r="N459" s="450"/>
      <c r="O459" s="175"/>
      <c r="P459" s="175"/>
      <c r="Q459" s="175"/>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row>
    <row r="460" spans="1:46" ht="16" thickBot="1">
      <c r="A460" s="707"/>
      <c r="B460" s="1258" t="s">
        <v>167</v>
      </c>
      <c r="C460" s="1259"/>
      <c r="D460" s="1273"/>
      <c r="E460" s="29"/>
      <c r="F460" s="29"/>
      <c r="G460" s="825"/>
      <c r="I460" s="1258" t="s">
        <v>167</v>
      </c>
      <c r="J460" s="1259"/>
      <c r="K460" s="1259"/>
      <c r="N460" s="905" t="s">
        <v>167</v>
      </c>
      <c r="O460" s="906"/>
      <c r="P460" s="906"/>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row>
    <row r="461" spans="1:46" ht="21.65" customHeight="1" thickBot="1">
      <c r="A461" s="1193" t="s">
        <v>2557</v>
      </c>
      <c r="B461" s="455"/>
      <c r="C461" s="581" t="s">
        <v>168</v>
      </c>
      <c r="D461" s="574" t="s">
        <v>169</v>
      </c>
      <c r="E461" s="29"/>
      <c r="F461" s="29"/>
      <c r="G461" s="29"/>
      <c r="I461" s="1041"/>
      <c r="J461" s="581" t="s">
        <v>168</v>
      </c>
      <c r="K461" s="574" t="s">
        <v>169</v>
      </c>
      <c r="N461" s="455"/>
      <c r="O461" s="581" t="s">
        <v>168</v>
      </c>
      <c r="P461" s="574" t="s">
        <v>169</v>
      </c>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row>
    <row r="462" spans="1:46" ht="15" customHeight="1">
      <c r="A462" s="1196"/>
      <c r="B462" s="560"/>
      <c r="C462" s="164"/>
      <c r="D462" s="453"/>
      <c r="E462" s="535"/>
      <c r="F462" s="535"/>
      <c r="G462" s="535"/>
      <c r="I462" s="1042"/>
      <c r="J462" s="164"/>
      <c r="K462" s="453"/>
      <c r="N462" s="560"/>
      <c r="O462" s="164"/>
      <c r="P462" s="453"/>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row>
    <row r="463" spans="1:46">
      <c r="A463" s="1196"/>
      <c r="B463" s="546"/>
      <c r="C463" s="663"/>
      <c r="D463" s="324"/>
      <c r="E463" s="535"/>
      <c r="F463" s="535"/>
      <c r="G463" s="535"/>
      <c r="I463" s="1043"/>
      <c r="J463" s="663"/>
      <c r="K463" s="324"/>
      <c r="N463" s="546"/>
      <c r="O463" s="663"/>
      <c r="P463" s="324"/>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row>
    <row r="464" spans="1:46">
      <c r="A464" s="1196"/>
      <c r="B464" s="546"/>
      <c r="C464" s="663"/>
      <c r="D464" s="324"/>
      <c r="E464" s="535"/>
      <c r="F464" s="535"/>
      <c r="G464" s="535"/>
      <c r="I464" s="1043"/>
      <c r="J464" s="663"/>
      <c r="K464" s="324"/>
      <c r="N464" s="546"/>
      <c r="O464" s="663"/>
      <c r="P464" s="324"/>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row>
    <row r="465" spans="1:46">
      <c r="A465" s="1196"/>
      <c r="B465" s="546"/>
      <c r="C465" s="663"/>
      <c r="D465" s="324"/>
      <c r="E465" s="535"/>
      <c r="F465" s="535"/>
      <c r="G465" s="535"/>
      <c r="I465" s="1043"/>
      <c r="J465" s="663"/>
      <c r="K465" s="324"/>
      <c r="N465" s="546"/>
      <c r="O465" s="663"/>
      <c r="P465" s="324"/>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row>
    <row r="466" spans="1:46">
      <c r="A466" s="1196"/>
      <c r="B466" s="546"/>
      <c r="C466" s="663"/>
      <c r="D466" s="324"/>
      <c r="E466" s="535"/>
      <c r="F466" s="535"/>
      <c r="G466" s="535"/>
      <c r="I466" s="1043"/>
      <c r="J466" s="663"/>
      <c r="K466" s="324"/>
      <c r="N466" s="546"/>
      <c r="O466" s="663"/>
      <c r="P466" s="324"/>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row>
    <row r="467" spans="1:46">
      <c r="A467" s="1196"/>
      <c r="B467" s="546"/>
      <c r="C467" s="663"/>
      <c r="D467" s="324"/>
      <c r="E467" s="535"/>
      <c r="F467" s="535"/>
      <c r="G467" s="535"/>
      <c r="I467" s="1043"/>
      <c r="J467" s="663"/>
      <c r="K467" s="324"/>
      <c r="N467" s="546"/>
      <c r="O467" s="663"/>
      <c r="P467" s="324"/>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row>
    <row r="468" spans="1:46">
      <c r="A468" s="1196"/>
      <c r="B468" s="546"/>
      <c r="C468" s="663"/>
      <c r="D468" s="324"/>
      <c r="E468" s="535"/>
      <c r="F468" s="535"/>
      <c r="G468" s="535"/>
      <c r="I468" s="1043"/>
      <c r="J468" s="663"/>
      <c r="K468" s="324"/>
      <c r="N468" s="546"/>
      <c r="O468" s="663"/>
      <c r="P468" s="324"/>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row>
    <row r="469" spans="1:46" ht="14.5" customHeight="1">
      <c r="A469" s="1196"/>
      <c r="B469" s="546"/>
      <c r="C469" s="663"/>
      <c r="D469" s="324"/>
      <c r="E469" s="535"/>
      <c r="F469" s="535"/>
      <c r="G469" s="535"/>
      <c r="I469" s="1043"/>
      <c r="J469" s="663"/>
      <c r="K469" s="324"/>
      <c r="N469" s="546"/>
      <c r="O469" s="663"/>
      <c r="P469" s="324"/>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row>
    <row r="470" spans="1:46">
      <c r="A470" s="1196"/>
      <c r="B470" s="546"/>
      <c r="C470" s="663"/>
      <c r="D470" s="324"/>
      <c r="E470" s="535"/>
      <c r="F470" s="535"/>
      <c r="G470" s="535"/>
      <c r="I470" s="1043"/>
      <c r="J470" s="663"/>
      <c r="K470" s="324"/>
      <c r="N470" s="546"/>
      <c r="O470" s="663"/>
      <c r="P470" s="324"/>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row>
    <row r="471" spans="1:46" ht="15" thickBot="1">
      <c r="A471" s="1196"/>
      <c r="B471" s="561"/>
      <c r="C471" s="750"/>
      <c r="D471" s="449"/>
      <c r="E471" s="29"/>
      <c r="F471" s="29"/>
      <c r="G471" s="29"/>
      <c r="I471" s="1044"/>
      <c r="J471" s="750"/>
      <c r="K471" s="449"/>
      <c r="N471" s="561"/>
      <c r="O471" s="750"/>
      <c r="P471" s="44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row>
    <row r="472" spans="1:46" ht="16" thickBot="1">
      <c r="A472" s="1033"/>
      <c r="B472" s="1247" t="s">
        <v>265</v>
      </c>
      <c r="C472" s="1246"/>
      <c r="D472" s="1248"/>
      <c r="E472" s="29"/>
      <c r="F472" s="29"/>
      <c r="G472" s="29"/>
      <c r="I472" s="1246" t="s">
        <v>265</v>
      </c>
      <c r="J472" s="1246"/>
      <c r="K472" s="1246"/>
      <c r="N472" s="907" t="s">
        <v>265</v>
      </c>
      <c r="O472" s="908"/>
      <c r="P472" s="908"/>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row>
    <row r="473" spans="1:46" ht="20.5" customHeight="1" thickBot="1">
      <c r="A473" s="1279" t="s">
        <v>266</v>
      </c>
      <c r="B473" s="455"/>
      <c r="C473" s="393" t="s">
        <v>172</v>
      </c>
      <c r="D473" s="454" t="s">
        <v>169</v>
      </c>
      <c r="E473" s="29"/>
      <c r="F473" s="29"/>
      <c r="G473" s="29"/>
      <c r="I473" s="1041"/>
      <c r="J473" s="393" t="s">
        <v>172</v>
      </c>
      <c r="K473" s="454" t="s">
        <v>169</v>
      </c>
      <c r="N473" s="455"/>
      <c r="O473" s="393" t="s">
        <v>172</v>
      </c>
      <c r="P473" s="454" t="s">
        <v>169</v>
      </c>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row>
    <row r="474" spans="1:46" ht="15" customHeight="1">
      <c r="A474" s="1280"/>
      <c r="B474" s="560"/>
      <c r="C474" s="756"/>
      <c r="D474" s="453"/>
      <c r="E474" s="535"/>
      <c r="F474" s="535"/>
      <c r="G474" s="535"/>
      <c r="I474" s="1042"/>
      <c r="J474" s="756"/>
      <c r="K474" s="453"/>
      <c r="N474" s="560"/>
      <c r="O474" s="756"/>
      <c r="P474" s="453"/>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row>
    <row r="475" spans="1:46">
      <c r="A475" s="1280"/>
      <c r="B475" s="546"/>
      <c r="C475" s="762"/>
      <c r="D475" s="324"/>
      <c r="E475" s="535"/>
      <c r="F475" s="535"/>
      <c r="G475" s="535"/>
      <c r="I475" s="1043"/>
      <c r="J475" s="762"/>
      <c r="K475" s="324"/>
      <c r="N475" s="546"/>
      <c r="O475" s="762"/>
      <c r="P475" s="324"/>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row>
    <row r="476" spans="1:46">
      <c r="A476" s="1280"/>
      <c r="B476" s="546"/>
      <c r="C476" s="762"/>
      <c r="D476" s="324"/>
      <c r="E476" s="535"/>
      <c r="F476" s="535"/>
      <c r="G476" s="535"/>
      <c r="I476" s="1043"/>
      <c r="J476" s="762"/>
      <c r="K476" s="324"/>
      <c r="N476" s="546"/>
      <c r="O476" s="762"/>
      <c r="P476" s="324"/>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row>
    <row r="477" spans="1:46">
      <c r="A477" s="1280"/>
      <c r="B477" s="546"/>
      <c r="C477" s="762"/>
      <c r="D477" s="324"/>
      <c r="E477" s="535"/>
      <c r="F477" s="535"/>
      <c r="G477" s="535"/>
      <c r="I477" s="1043"/>
      <c r="J477" s="762"/>
      <c r="K477" s="324"/>
      <c r="N477" s="546"/>
      <c r="O477" s="762"/>
      <c r="P477" s="324"/>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row>
    <row r="478" spans="1:46">
      <c r="A478" s="1280"/>
      <c r="B478" s="546"/>
      <c r="C478" s="757"/>
      <c r="D478" s="324"/>
      <c r="E478" s="535"/>
      <c r="F478" s="535"/>
      <c r="G478" s="535"/>
      <c r="I478" s="1043"/>
      <c r="J478" s="757"/>
      <c r="K478" s="324"/>
      <c r="N478" s="546"/>
      <c r="O478" s="757"/>
      <c r="P478" s="324"/>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row>
    <row r="479" spans="1:46">
      <c r="A479" s="1280"/>
      <c r="B479" s="546"/>
      <c r="C479" s="757"/>
      <c r="D479" s="324"/>
      <c r="E479" s="535"/>
      <c r="F479" s="535"/>
      <c r="G479" s="535"/>
      <c r="I479" s="1043"/>
      <c r="J479" s="757"/>
      <c r="K479" s="324"/>
      <c r="N479" s="546"/>
      <c r="O479" s="757"/>
      <c r="P479" s="324"/>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row>
    <row r="480" spans="1:46">
      <c r="A480" s="1280"/>
      <c r="B480" s="546"/>
      <c r="C480" s="757"/>
      <c r="D480" s="324"/>
      <c r="E480" s="535"/>
      <c r="F480" s="535"/>
      <c r="G480" s="535"/>
      <c r="I480" s="1043"/>
      <c r="J480" s="757"/>
      <c r="K480" s="324"/>
      <c r="N480" s="546"/>
      <c r="O480" s="757"/>
      <c r="P480" s="324"/>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row>
    <row r="481" spans="1:46">
      <c r="A481" s="1280"/>
      <c r="B481" s="546"/>
      <c r="C481" s="757"/>
      <c r="D481" s="324"/>
      <c r="E481" s="535"/>
      <c r="F481" s="535"/>
      <c r="G481" s="535"/>
      <c r="I481" s="1043"/>
      <c r="J481" s="757"/>
      <c r="K481" s="324"/>
      <c r="N481" s="546"/>
      <c r="O481" s="757"/>
      <c r="P481" s="324"/>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row>
    <row r="482" spans="1:46" ht="15" thickBot="1">
      <c r="A482" s="1281"/>
      <c r="B482" s="561"/>
      <c r="C482" s="766"/>
      <c r="D482" s="449"/>
      <c r="E482" s="535"/>
      <c r="F482" s="535"/>
      <c r="G482" s="535"/>
      <c r="I482" s="1044"/>
      <c r="J482" s="766"/>
      <c r="K482" s="449"/>
      <c r="N482" s="561"/>
      <c r="O482" s="766"/>
      <c r="P482" s="44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row>
    <row r="483" spans="1:46" ht="15" thickBot="1">
      <c r="E483" s="29"/>
      <c r="F483" s="29"/>
      <c r="G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row>
    <row r="484" spans="1:46" ht="24" thickBot="1">
      <c r="B484" s="1274" t="s">
        <v>182</v>
      </c>
      <c r="C484" s="1275"/>
      <c r="D484" s="1276"/>
      <c r="E484" s="29"/>
      <c r="F484" s="29"/>
      <c r="G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row>
    <row r="485" spans="1:46">
      <c r="E485" s="29"/>
      <c r="F485" s="29"/>
      <c r="G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row>
    <row r="486" spans="1:46" ht="15" thickBot="1">
      <c r="E486" s="29"/>
      <c r="F486" s="29"/>
      <c r="G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row>
    <row r="487" spans="1:46" ht="19" thickBot="1">
      <c r="B487" s="697" t="s">
        <v>186</v>
      </c>
      <c r="C487" s="698" t="s">
        <v>199</v>
      </c>
      <c r="D487" s="699" t="s">
        <v>351</v>
      </c>
      <c r="E487" s="29"/>
      <c r="F487" s="29"/>
      <c r="G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row>
    <row r="488" spans="1:46" ht="54" customHeight="1" thickBot="1">
      <c r="A488" s="1011" t="s">
        <v>352</v>
      </c>
      <c r="B488" s="1036" t="s">
        <v>182</v>
      </c>
      <c r="C488" s="554"/>
      <c r="D488" s="555"/>
      <c r="E488" s="29"/>
      <c r="F488" s="535"/>
      <c r="G488" s="535"/>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row>
    <row r="489" spans="1:46" ht="20.9" customHeight="1" thickBot="1">
      <c r="E489" s="536"/>
      <c r="F489" s="29"/>
      <c r="G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row>
    <row r="490" spans="1:46" ht="19" thickBot="1">
      <c r="B490" s="692" t="s">
        <v>222</v>
      </c>
      <c r="C490" s="695" t="s">
        <v>19</v>
      </c>
      <c r="D490" s="696" t="s">
        <v>20</v>
      </c>
      <c r="E490" s="29"/>
      <c r="F490" s="29"/>
      <c r="G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row>
    <row r="491" spans="1:46" ht="23.9" customHeight="1" thickBot="1">
      <c r="A491" s="1026" t="s">
        <v>353</v>
      </c>
      <c r="B491" s="564" t="s">
        <v>339</v>
      </c>
      <c r="C491" s="399" t="s">
        <v>36</v>
      </c>
      <c r="D491" s="565"/>
      <c r="E491" s="29"/>
      <c r="F491" s="29"/>
      <c r="G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row>
    <row r="492" spans="1:46" ht="23.9" customHeight="1" thickBot="1">
      <c r="A492" s="1026" t="s">
        <v>355</v>
      </c>
      <c r="B492" s="564" t="s">
        <v>343</v>
      </c>
      <c r="C492" s="399"/>
      <c r="D492" s="423"/>
      <c r="E492" s="29"/>
      <c r="F492" s="29"/>
      <c r="G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row>
    <row r="493" spans="1:46" ht="75" customHeight="1" thickBot="1">
      <c r="A493" s="1029" t="s">
        <v>2558</v>
      </c>
      <c r="B493" s="564" t="s">
        <v>356</v>
      </c>
      <c r="C493" s="399" t="s">
        <v>135</v>
      </c>
      <c r="D493" s="423"/>
      <c r="E493" s="29"/>
      <c r="F493" s="29"/>
      <c r="G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row>
    <row r="494" spans="1:46" ht="37.4" customHeight="1" thickBot="1">
      <c r="A494" s="1028" t="s">
        <v>303</v>
      </c>
      <c r="B494" s="874" t="s">
        <v>304</v>
      </c>
      <c r="C494" s="547" t="s">
        <v>135</v>
      </c>
      <c r="D494" s="423"/>
      <c r="E494" s="29"/>
      <c r="F494" s="29"/>
      <c r="G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row>
    <row r="495" spans="1:46" ht="22.4" customHeight="1">
      <c r="A495" s="1279" t="s">
        <v>305</v>
      </c>
      <c r="B495" s="331" t="s">
        <v>231</v>
      </c>
      <c r="C495" s="676"/>
      <c r="D495" s="424"/>
      <c r="E495" s="535"/>
      <c r="F495" s="535"/>
      <c r="G495" s="535"/>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row>
    <row r="496" spans="1:46" ht="22.4" customHeight="1">
      <c r="A496" s="1280"/>
      <c r="B496" s="331" t="s">
        <v>232</v>
      </c>
      <c r="C496" s="676"/>
      <c r="D496" s="424"/>
      <c r="E496" s="535"/>
      <c r="F496" s="535"/>
      <c r="G496" s="535"/>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row>
    <row r="497" spans="1:46" ht="22.4" customHeight="1" thickBot="1">
      <c r="A497" s="1281"/>
      <c r="B497" s="331" t="s">
        <v>233</v>
      </c>
      <c r="C497" s="676"/>
      <c r="D497" s="424"/>
      <c r="E497" s="535"/>
      <c r="F497" s="535"/>
      <c r="G497" s="535"/>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row>
    <row r="498" spans="1:46" ht="22.4" customHeight="1">
      <c r="A498" s="1279" t="s">
        <v>2535</v>
      </c>
      <c r="B498" s="331" t="s">
        <v>234</v>
      </c>
      <c r="C498" s="676"/>
      <c r="D498" s="424"/>
      <c r="E498" s="535"/>
      <c r="F498" s="535"/>
      <c r="G498" s="535"/>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row>
    <row r="499" spans="1:46" ht="22.4" customHeight="1" thickBot="1">
      <c r="A499" s="1281"/>
      <c r="B499" s="331" t="s">
        <v>235</v>
      </c>
      <c r="C499" s="676"/>
      <c r="D499" s="424"/>
      <c r="E499" s="535"/>
      <c r="F499" s="535"/>
      <c r="G499" s="535"/>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row>
    <row r="500" spans="1:46" ht="36" customHeight="1" thickBot="1">
      <c r="A500" s="931" t="s">
        <v>2536</v>
      </c>
      <c r="B500" s="331" t="s">
        <v>237</v>
      </c>
      <c r="C500" s="326" t="s">
        <v>238</v>
      </c>
      <c r="D500" s="424"/>
      <c r="E500" s="535"/>
      <c r="F500" s="535"/>
      <c r="G500" s="535"/>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row>
    <row r="501" spans="1:46" ht="19.399999999999999" customHeight="1">
      <c r="A501" s="1279" t="s">
        <v>2546</v>
      </c>
      <c r="B501" s="331" t="s">
        <v>306</v>
      </c>
      <c r="C501" s="676"/>
      <c r="D501" s="424"/>
      <c r="E501" s="535"/>
      <c r="F501" s="535"/>
      <c r="G501" s="535"/>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row>
    <row r="502" spans="1:46" ht="20.9" customHeight="1">
      <c r="A502" s="1280"/>
      <c r="B502" s="331" t="s">
        <v>307</v>
      </c>
      <c r="C502" s="676"/>
      <c r="D502" s="424"/>
      <c r="E502" s="535"/>
      <c r="F502" s="535"/>
      <c r="G502" s="535"/>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row>
    <row r="503" spans="1:46" ht="21.65" customHeight="1" thickBot="1">
      <c r="A503" s="1281"/>
      <c r="B503" s="566" t="s">
        <v>308</v>
      </c>
      <c r="C503" s="677"/>
      <c r="D503" s="567"/>
      <c r="E503" s="535"/>
      <c r="F503" s="535"/>
      <c r="G503" s="535"/>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row>
    <row r="504" spans="1:46" ht="22.4" customHeight="1" thickBot="1">
      <c r="B504" s="427" t="s">
        <v>245</v>
      </c>
      <c r="C504" s="340" t="s">
        <v>246</v>
      </c>
      <c r="D504" s="428" t="s">
        <v>104</v>
      </c>
      <c r="E504" s="29"/>
      <c r="F504" s="29"/>
      <c r="G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row>
    <row r="505" spans="1:46" ht="19.5" customHeight="1">
      <c r="A505" s="1193" t="s">
        <v>2554</v>
      </c>
      <c r="B505" s="720"/>
      <c r="C505" s="681"/>
      <c r="D505" s="453"/>
      <c r="E505" s="535"/>
      <c r="F505" s="535"/>
      <c r="G505" s="535"/>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row>
    <row r="506" spans="1:46" ht="19.5" customHeight="1">
      <c r="A506" s="1196"/>
      <c r="B506" s="720"/>
      <c r="C506" s="676"/>
      <c r="D506" s="324"/>
      <c r="E506" s="535"/>
      <c r="F506" s="535"/>
      <c r="G506" s="535"/>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row>
    <row r="507" spans="1:46" ht="19.5" customHeight="1">
      <c r="A507" s="1196"/>
      <c r="B507" s="720"/>
      <c r="C507" s="676"/>
      <c r="D507" s="324"/>
      <c r="E507" s="535"/>
      <c r="F507" s="535"/>
      <c r="G507" s="535"/>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row>
    <row r="508" spans="1:46" ht="19.5" customHeight="1">
      <c r="A508" s="1196"/>
      <c r="B508" s="720"/>
      <c r="C508" s="676"/>
      <c r="D508" s="324"/>
      <c r="E508" s="535"/>
      <c r="F508" s="535"/>
      <c r="G508" s="535"/>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row>
    <row r="509" spans="1:46" ht="19.5" customHeight="1">
      <c r="A509" s="1196"/>
      <c r="B509" s="720"/>
      <c r="C509" s="676"/>
      <c r="D509" s="324"/>
      <c r="E509" s="535"/>
      <c r="F509" s="535"/>
      <c r="G509" s="535"/>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row>
    <row r="510" spans="1:46" ht="19.5" customHeight="1">
      <c r="A510" s="1196"/>
      <c r="B510" s="720"/>
      <c r="C510" s="676"/>
      <c r="D510" s="324"/>
      <c r="E510" s="535"/>
      <c r="F510" s="535"/>
      <c r="G510" s="535"/>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row>
    <row r="511" spans="1:46" ht="19.5" customHeight="1">
      <c r="A511" s="1196"/>
      <c r="B511" s="720"/>
      <c r="C511" s="676"/>
      <c r="D511" s="324"/>
      <c r="E511" s="535"/>
      <c r="F511" s="535"/>
      <c r="G511" s="535"/>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row>
    <row r="512" spans="1:46" ht="19.5" customHeight="1">
      <c r="A512" s="1196"/>
      <c r="B512" s="720"/>
      <c r="C512" s="676"/>
      <c r="D512" s="324"/>
      <c r="E512" s="535"/>
      <c r="F512" s="535"/>
      <c r="G512" s="535"/>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row>
    <row r="513" spans="1:46" ht="19.5" customHeight="1">
      <c r="A513" s="1196"/>
      <c r="B513" s="720"/>
      <c r="C513" s="676"/>
      <c r="D513" s="324"/>
      <c r="E513" s="535"/>
      <c r="F513" s="535"/>
      <c r="G513" s="535"/>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row>
    <row r="514" spans="1:46" ht="19.5" customHeight="1">
      <c r="A514" s="1196"/>
      <c r="B514" s="720"/>
      <c r="C514" s="676"/>
      <c r="D514" s="324"/>
      <c r="E514" s="535"/>
      <c r="F514" s="535"/>
      <c r="G514" s="535"/>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row>
    <row r="515" spans="1:46" ht="19.5" customHeight="1">
      <c r="A515" s="1196"/>
      <c r="B515" s="720"/>
      <c r="C515" s="676"/>
      <c r="D515" s="324"/>
      <c r="E515" s="535"/>
      <c r="F515" s="535"/>
      <c r="G515" s="535"/>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row>
    <row r="516" spans="1:46" ht="19.5" customHeight="1">
      <c r="A516" s="1196"/>
      <c r="B516" s="720"/>
      <c r="C516" s="676"/>
      <c r="D516" s="324"/>
      <c r="E516" s="535"/>
      <c r="F516" s="535"/>
      <c r="G516" s="535"/>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row>
    <row r="517" spans="1:46" ht="19.5" customHeight="1">
      <c r="A517" s="1196"/>
      <c r="B517" s="720"/>
      <c r="C517" s="676"/>
      <c r="D517" s="324"/>
      <c r="E517" s="535"/>
      <c r="F517" s="535"/>
      <c r="G517" s="535"/>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row>
    <row r="518" spans="1:46" ht="19.5" customHeight="1" thickBot="1">
      <c r="A518" s="1199"/>
      <c r="B518" s="720"/>
      <c r="C518" s="677"/>
      <c r="D518" s="449"/>
      <c r="E518" s="535"/>
      <c r="F518" s="535"/>
      <c r="G518" s="535"/>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row>
    <row r="519" spans="1:46" ht="15.75" customHeight="1" thickBot="1">
      <c r="B519" s="427"/>
      <c r="C519" s="340" t="s">
        <v>255</v>
      </c>
      <c r="D519" s="428" t="s">
        <v>104</v>
      </c>
      <c r="E519" s="29"/>
      <c r="F519" s="29"/>
      <c r="G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row>
    <row r="520" spans="1:46" ht="17.149999999999999" customHeight="1">
      <c r="A520" s="1279" t="s">
        <v>2559</v>
      </c>
      <c r="B520" s="450"/>
      <c r="C520" s="748"/>
      <c r="D520" s="453"/>
      <c r="E520" s="535"/>
      <c r="F520" s="535"/>
      <c r="G520" s="535"/>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row>
    <row r="521" spans="1:46" ht="17.149999999999999" customHeight="1">
      <c r="A521" s="1280"/>
      <c r="B521" s="450"/>
      <c r="C521" s="748"/>
      <c r="D521" s="324"/>
      <c r="E521" s="535"/>
      <c r="F521" s="535"/>
      <c r="G521" s="535"/>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row>
    <row r="522" spans="1:46" ht="17.149999999999999" customHeight="1">
      <c r="A522" s="1280"/>
      <c r="B522" s="450"/>
      <c r="C522" s="748"/>
      <c r="D522" s="324"/>
      <c r="E522" s="535"/>
      <c r="F522" s="535"/>
      <c r="G522" s="535"/>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row>
    <row r="523" spans="1:46" ht="17.149999999999999" customHeight="1">
      <c r="A523" s="1280"/>
      <c r="B523" s="450"/>
      <c r="C523" s="748"/>
      <c r="D523" s="324"/>
      <c r="E523" s="535"/>
      <c r="F523" s="535"/>
      <c r="G523" s="535"/>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row>
    <row r="524" spans="1:46" ht="17.149999999999999" customHeight="1">
      <c r="A524" s="1280"/>
      <c r="B524" s="450"/>
      <c r="C524" s="748"/>
      <c r="D524" s="324"/>
      <c r="E524" s="535"/>
      <c r="F524" s="535"/>
      <c r="G524" s="535"/>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row>
    <row r="525" spans="1:46" ht="17.149999999999999" customHeight="1">
      <c r="A525" s="1280"/>
      <c r="B525" s="450"/>
      <c r="C525" s="748"/>
      <c r="D525" s="324"/>
      <c r="E525" s="535"/>
      <c r="F525" s="535"/>
      <c r="G525" s="535"/>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row>
    <row r="526" spans="1:46" ht="17.149999999999999" customHeight="1">
      <c r="A526" s="1280"/>
      <c r="B526" s="450"/>
      <c r="C526" s="748"/>
      <c r="D526" s="324"/>
      <c r="E526" s="535"/>
      <c r="F526" s="535"/>
      <c r="G526" s="535"/>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row>
    <row r="527" spans="1:46" ht="17.149999999999999" customHeight="1">
      <c r="A527" s="1280"/>
      <c r="B527" s="450"/>
      <c r="C527" s="748"/>
      <c r="D527" s="324"/>
      <c r="E527" s="535"/>
      <c r="F527" s="535"/>
      <c r="G527" s="535"/>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row>
    <row r="528" spans="1:46" ht="17.149999999999999" customHeight="1">
      <c r="A528" s="1280"/>
      <c r="B528" s="450"/>
      <c r="C528" s="748"/>
      <c r="D528" s="324"/>
      <c r="E528" s="535"/>
      <c r="F528" s="535"/>
      <c r="G528" s="535"/>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row>
    <row r="529" spans="1:46" ht="17.149999999999999" customHeight="1" thickBot="1">
      <c r="A529" s="1281"/>
      <c r="B529" s="451"/>
      <c r="C529" s="1047"/>
      <c r="D529" s="449"/>
      <c r="E529" s="1059"/>
      <c r="F529" s="535"/>
      <c r="G529" s="535"/>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row>
    <row r="530" spans="1:46" ht="16" thickBot="1">
      <c r="A530" s="1033"/>
      <c r="B530" s="392"/>
      <c r="C530" s="393" t="s">
        <v>256</v>
      </c>
      <c r="D530" s="454" t="s">
        <v>104</v>
      </c>
      <c r="E530" s="901" t="s">
        <v>88</v>
      </c>
      <c r="F530" s="29"/>
      <c r="G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row>
    <row r="531" spans="1:46" ht="15.65" customHeight="1">
      <c r="A531" s="1193" t="s">
        <v>2571</v>
      </c>
      <c r="B531" s="450"/>
      <c r="C531" s="556"/>
      <c r="D531" s="413"/>
      <c r="E531" s="324"/>
      <c r="F531" s="535"/>
      <c r="G531" s="535"/>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row>
    <row r="532" spans="1:46">
      <c r="A532" s="1196"/>
      <c r="B532" s="450"/>
      <c r="C532" s="556"/>
      <c r="D532" s="367"/>
      <c r="E532" s="1045"/>
      <c r="F532" s="535"/>
      <c r="G532" s="535"/>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row>
    <row r="533" spans="1:46">
      <c r="A533" s="1196"/>
      <c r="B533" s="450"/>
      <c r="C533" s="556"/>
      <c r="D533" s="367"/>
      <c r="E533" s="1045"/>
      <c r="F533" s="535"/>
      <c r="G533" s="535"/>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row>
    <row r="534" spans="1:46">
      <c r="A534" s="1196"/>
      <c r="B534" s="450"/>
      <c r="C534" s="556"/>
      <c r="D534" s="367"/>
      <c r="E534" s="1045"/>
      <c r="F534" s="535"/>
      <c r="G534" s="535"/>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row>
    <row r="535" spans="1:46">
      <c r="A535" s="1196"/>
      <c r="B535" s="450"/>
      <c r="C535" s="556"/>
      <c r="D535" s="367"/>
      <c r="E535" s="1045"/>
      <c r="F535" s="535"/>
      <c r="G535" s="535"/>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row>
    <row r="536" spans="1:46">
      <c r="A536" s="1196"/>
      <c r="B536" s="450"/>
      <c r="C536" s="556"/>
      <c r="D536" s="367"/>
      <c r="E536" s="1045"/>
      <c r="F536" s="535"/>
      <c r="G536" s="535"/>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row>
    <row r="537" spans="1:46">
      <c r="A537" s="1196"/>
      <c r="B537" s="450"/>
      <c r="C537" s="556"/>
      <c r="D537" s="367"/>
      <c r="E537" s="1045"/>
      <c r="F537" s="535"/>
      <c r="G537" s="535"/>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row>
    <row r="538" spans="1:46">
      <c r="A538" s="1196"/>
      <c r="B538" s="450"/>
      <c r="C538" s="556"/>
      <c r="D538" s="367"/>
      <c r="E538" s="1045"/>
      <c r="F538" s="535"/>
      <c r="G538" s="535"/>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row>
    <row r="539" spans="1:46">
      <c r="A539" s="1196"/>
      <c r="B539" s="450"/>
      <c r="C539" s="556"/>
      <c r="D539" s="367"/>
      <c r="E539" s="1045"/>
      <c r="F539" s="535"/>
      <c r="G539" s="535"/>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row>
    <row r="540" spans="1:46" ht="14.5" customHeight="1">
      <c r="A540" s="1196"/>
      <c r="B540" s="450"/>
      <c r="C540" s="556"/>
      <c r="D540" s="367"/>
      <c r="E540" s="1045"/>
      <c r="F540" s="535"/>
      <c r="G540" s="535"/>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row>
    <row r="541" spans="1:46">
      <c r="A541" s="1196"/>
      <c r="B541" s="450"/>
      <c r="C541" s="556"/>
      <c r="D541" s="367"/>
      <c r="E541" s="1045"/>
      <c r="F541" s="535"/>
      <c r="G541" s="535"/>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row>
    <row r="542" spans="1:46" ht="15" thickBot="1">
      <c r="A542" s="1199"/>
      <c r="B542" s="451"/>
      <c r="C542" s="556"/>
      <c r="D542" s="727"/>
      <c r="E542" s="1045"/>
      <c r="F542" s="535"/>
      <c r="G542" s="535"/>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row>
    <row r="543" spans="1:46" ht="18.649999999999999" customHeight="1" thickBot="1">
      <c r="A543" s="1279" t="s">
        <v>2541</v>
      </c>
      <c r="B543" s="450"/>
      <c r="C543" s="929" t="s">
        <v>258</v>
      </c>
      <c r="D543" s="929" t="s">
        <v>104</v>
      </c>
      <c r="E543" s="930" t="s">
        <v>105</v>
      </c>
      <c r="F543" s="948"/>
      <c r="G543" s="948"/>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row>
    <row r="544" spans="1:46">
      <c r="A544" s="1280"/>
      <c r="B544" s="450"/>
      <c r="C544" s="556"/>
      <c r="D544" s="556"/>
      <c r="E544" s="453"/>
      <c r="F544" s="948"/>
      <c r="G544" s="948"/>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row>
    <row r="545" spans="1:46" ht="14.5" customHeight="1">
      <c r="A545" s="1280"/>
      <c r="B545" s="450"/>
      <c r="C545" s="175"/>
      <c r="D545" s="175"/>
      <c r="E545" s="324"/>
      <c r="F545" s="948"/>
      <c r="G545" s="948"/>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row>
    <row r="546" spans="1:46">
      <c r="A546" s="1280"/>
      <c r="B546" s="450"/>
      <c r="C546" s="175"/>
      <c r="D546" s="175"/>
      <c r="E546" s="324"/>
      <c r="F546" s="948"/>
      <c r="G546" s="948"/>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row>
    <row r="547" spans="1:46" ht="15" thickBot="1">
      <c r="A547" s="1281"/>
      <c r="B547" s="451"/>
      <c r="C547" s="557"/>
      <c r="D547" s="557"/>
      <c r="E547" s="449"/>
      <c r="F547" s="948"/>
      <c r="G547" s="948"/>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row>
    <row r="548" spans="1:46" ht="16" thickBot="1">
      <c r="A548" s="707"/>
      <c r="B548" s="1268" t="s">
        <v>167</v>
      </c>
      <c r="C548" s="1269"/>
      <c r="D548" s="1270"/>
      <c r="E548" s="29"/>
      <c r="F548" s="29"/>
      <c r="G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row>
    <row r="549" spans="1:46" ht="16" thickBot="1">
      <c r="A549" s="707"/>
      <c r="B549" s="427"/>
      <c r="C549" s="340" t="s">
        <v>168</v>
      </c>
      <c r="D549" s="582" t="s">
        <v>169</v>
      </c>
      <c r="E549" s="29"/>
      <c r="F549" s="29"/>
      <c r="G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row>
    <row r="550" spans="1:46" ht="15" customHeight="1">
      <c r="A550" s="1279" t="s">
        <v>312</v>
      </c>
      <c r="B550" s="586"/>
      <c r="C550" s="767"/>
      <c r="D550" s="583"/>
      <c r="E550" s="535"/>
      <c r="F550" s="535"/>
      <c r="G550" s="535"/>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row>
    <row r="551" spans="1:46">
      <c r="A551" s="1280"/>
      <c r="B551" s="587"/>
      <c r="C551" s="768"/>
      <c r="D551" s="584"/>
      <c r="E551" s="535"/>
      <c r="F551" s="535"/>
      <c r="G551" s="535"/>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row>
    <row r="552" spans="1:46">
      <c r="A552" s="1280"/>
      <c r="B552" s="587"/>
      <c r="C552" s="768"/>
      <c r="D552" s="584"/>
      <c r="E552" s="535"/>
      <c r="F552" s="535"/>
      <c r="G552" s="535"/>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row>
    <row r="553" spans="1:46">
      <c r="A553" s="1280"/>
      <c r="B553" s="587"/>
      <c r="C553" s="768"/>
      <c r="D553" s="584"/>
      <c r="E553" s="535"/>
      <c r="F553" s="535"/>
      <c r="G553" s="535"/>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row>
    <row r="554" spans="1:46">
      <c r="A554" s="1280"/>
      <c r="B554" s="587"/>
      <c r="C554" s="768"/>
      <c r="D554" s="584"/>
      <c r="E554" s="535"/>
      <c r="F554" s="535"/>
      <c r="G554" s="535"/>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row>
    <row r="555" spans="1:46">
      <c r="A555" s="1280"/>
      <c r="B555" s="587"/>
      <c r="C555" s="768"/>
      <c r="D555" s="584"/>
      <c r="E555" s="535"/>
      <c r="F555" s="535"/>
      <c r="G555" s="535"/>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row>
    <row r="556" spans="1:46">
      <c r="A556" s="1280"/>
      <c r="B556" s="587"/>
      <c r="C556" s="768"/>
      <c r="D556" s="584"/>
      <c r="E556" s="535"/>
      <c r="F556" s="535"/>
      <c r="G556" s="535"/>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row>
    <row r="557" spans="1:46" ht="14.5" customHeight="1">
      <c r="A557" s="1280"/>
      <c r="B557" s="587"/>
      <c r="C557" s="768"/>
      <c r="D557" s="584"/>
      <c r="E557" s="535"/>
      <c r="F557" s="535"/>
      <c r="G557" s="535"/>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row>
    <row r="558" spans="1:46">
      <c r="A558" s="1280"/>
      <c r="B558" s="587"/>
      <c r="C558" s="768"/>
      <c r="D558" s="584"/>
      <c r="E558" s="535"/>
      <c r="F558" s="535"/>
      <c r="G558" s="535"/>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row>
    <row r="559" spans="1:46" ht="15" thickBot="1">
      <c r="A559" s="1281"/>
      <c r="B559" s="588"/>
      <c r="C559" s="769"/>
      <c r="D559" s="585"/>
      <c r="E559" s="29"/>
      <c r="F559" s="29"/>
      <c r="G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row>
    <row r="560" spans="1:46" ht="16" thickBot="1">
      <c r="A560" s="1033"/>
      <c r="B560" s="1265" t="s">
        <v>265</v>
      </c>
      <c r="C560" s="1266"/>
      <c r="D560" s="1267"/>
      <c r="E560" s="29"/>
      <c r="F560" s="29"/>
      <c r="G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row>
    <row r="561" spans="1:44" ht="20.5" customHeight="1" thickBot="1">
      <c r="A561" s="1279" t="s">
        <v>313</v>
      </c>
      <c r="B561" s="455"/>
      <c r="C561" s="558" t="s">
        <v>172</v>
      </c>
      <c r="D561" s="559" t="s">
        <v>169</v>
      </c>
      <c r="E561" s="29"/>
      <c r="F561" s="29"/>
      <c r="G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row>
    <row r="562" spans="1:44" ht="15" customHeight="1">
      <c r="A562" s="1280"/>
      <c r="B562" s="450"/>
      <c r="C562" s="748"/>
      <c r="D562" s="453"/>
      <c r="E562" s="535"/>
      <c r="F562" s="535"/>
      <c r="G562" s="535"/>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row>
    <row r="563" spans="1:44">
      <c r="A563" s="1280"/>
      <c r="B563" s="450"/>
      <c r="C563" s="749"/>
      <c r="D563" s="324"/>
      <c r="E563" s="535"/>
      <c r="F563" s="535"/>
      <c r="G563" s="535"/>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row>
    <row r="564" spans="1:44">
      <c r="A564" s="1280"/>
      <c r="B564" s="450"/>
      <c r="C564" s="749"/>
      <c r="D564" s="324"/>
      <c r="E564" s="535"/>
      <c r="F564" s="535"/>
      <c r="G564" s="535"/>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row>
    <row r="565" spans="1:44">
      <c r="A565" s="1280"/>
      <c r="B565" s="450"/>
      <c r="C565" s="749"/>
      <c r="D565" s="324"/>
      <c r="E565" s="535"/>
      <c r="F565" s="535"/>
      <c r="G565" s="535"/>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row>
    <row r="566" spans="1:44">
      <c r="A566" s="1280"/>
      <c r="B566" s="450"/>
      <c r="C566" s="764"/>
      <c r="D566" s="324"/>
      <c r="E566" s="535"/>
      <c r="F566" s="535"/>
      <c r="G566" s="535"/>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row>
    <row r="567" spans="1:44">
      <c r="A567" s="1280"/>
      <c r="B567" s="450"/>
      <c r="C567" s="764"/>
      <c r="D567" s="324"/>
      <c r="E567" s="535"/>
      <c r="F567" s="535"/>
      <c r="G567" s="535"/>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row>
    <row r="568" spans="1:44">
      <c r="A568" s="1280"/>
      <c r="B568" s="450"/>
      <c r="C568" s="764"/>
      <c r="D568" s="324"/>
      <c r="E568" s="535"/>
      <c r="F568" s="535"/>
      <c r="G568" s="535"/>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row>
    <row r="569" spans="1:44">
      <c r="A569" s="1280"/>
      <c r="B569" s="450"/>
      <c r="C569" s="764"/>
      <c r="D569" s="324"/>
      <c r="E569" s="535"/>
      <c r="F569" s="535"/>
      <c r="G569" s="535"/>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row>
    <row r="570" spans="1:44" ht="15" thickBot="1">
      <c r="A570" s="1281"/>
      <c r="B570" s="451"/>
      <c r="C570" s="770"/>
      <c r="D570" s="449"/>
      <c r="E570" s="535"/>
      <c r="F570" s="535"/>
      <c r="G570" s="535"/>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row>
    <row r="571" spans="1:44" ht="15" thickBot="1">
      <c r="E571" s="29"/>
      <c r="F571" s="29"/>
      <c r="G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row>
    <row r="572" spans="1:44" ht="24" thickBot="1">
      <c r="B572" s="1255" t="s">
        <v>183</v>
      </c>
      <c r="C572" s="1256"/>
      <c r="D572" s="1257"/>
      <c r="E572" s="29"/>
      <c r="F572" s="29"/>
      <c r="G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row>
    <row r="573" spans="1:44">
      <c r="E573" s="29"/>
      <c r="F573" s="29"/>
      <c r="G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row>
    <row r="574" spans="1:44" ht="15" thickBot="1">
      <c r="E574" s="29"/>
      <c r="F574" s="29"/>
      <c r="G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row>
    <row r="575" spans="1:44" ht="38.25" customHeight="1" thickBot="1">
      <c r="B575" s="697" t="s">
        <v>186</v>
      </c>
      <c r="C575" s="698" t="s">
        <v>199</v>
      </c>
      <c r="D575" s="699" t="s">
        <v>359</v>
      </c>
      <c r="E575" s="29"/>
      <c r="F575" s="29"/>
      <c r="G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row>
    <row r="576" spans="1:44" ht="42" customHeight="1" thickBot="1">
      <c r="A576" s="1011" t="s">
        <v>352</v>
      </c>
      <c r="B576" s="553" t="s">
        <v>183</v>
      </c>
      <c r="C576" s="554"/>
      <c r="D576" s="555"/>
      <c r="E576" s="535"/>
      <c r="F576" s="535"/>
      <c r="G576" s="535"/>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row>
    <row r="577" spans="1:44" ht="15" thickBot="1">
      <c r="B577" s="31"/>
      <c r="C577" s="31"/>
      <c r="D577" s="31"/>
      <c r="E577" s="29"/>
      <c r="F577" s="29"/>
      <c r="G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row>
    <row r="578" spans="1:44" ht="19" thickBot="1">
      <c r="B578" s="692" t="s">
        <v>222</v>
      </c>
      <c r="C578" s="695" t="s">
        <v>19</v>
      </c>
      <c r="D578" s="696" t="s">
        <v>20</v>
      </c>
      <c r="E578" s="29"/>
      <c r="F578" s="29"/>
      <c r="G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row>
    <row r="579" spans="1:44" ht="16" thickBot="1">
      <c r="A579" s="1026" t="s">
        <v>353</v>
      </c>
      <c r="B579" s="564" t="s">
        <v>339</v>
      </c>
      <c r="C579" s="399" t="s">
        <v>36</v>
      </c>
      <c r="D579" s="565"/>
      <c r="E579" s="29"/>
      <c r="F579" s="29"/>
      <c r="G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row>
    <row r="580" spans="1:44" ht="16" thickBot="1">
      <c r="A580" s="1026" t="s">
        <v>355</v>
      </c>
      <c r="B580" s="564" t="s">
        <v>343</v>
      </c>
      <c r="C580" s="399"/>
      <c r="D580" s="423"/>
      <c r="E580" s="29"/>
      <c r="F580" s="29"/>
      <c r="G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row>
    <row r="581" spans="1:44" ht="73" thickBot="1">
      <c r="A581" s="1029" t="s">
        <v>2558</v>
      </c>
      <c r="B581" s="564" t="s">
        <v>360</v>
      </c>
      <c r="C581" s="399" t="s">
        <v>135</v>
      </c>
      <c r="D581" s="423"/>
      <c r="E581" s="29"/>
      <c r="F581" s="29"/>
      <c r="G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row>
    <row r="582" spans="1:44" ht="42" customHeight="1" thickBot="1">
      <c r="A582" s="1028" t="s">
        <v>303</v>
      </c>
      <c r="B582" s="874" t="s">
        <v>304</v>
      </c>
      <c r="C582" s="547" t="s">
        <v>135</v>
      </c>
      <c r="D582" s="423"/>
      <c r="E582" s="29"/>
      <c r="F582" s="29"/>
      <c r="G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row>
    <row r="583" spans="1:44" ht="15.75" customHeight="1">
      <c r="A583" s="1279" t="s">
        <v>305</v>
      </c>
      <c r="B583" s="331" t="s">
        <v>231</v>
      </c>
      <c r="C583" s="676"/>
      <c r="D583" s="424"/>
      <c r="E583" s="535"/>
      <c r="F583" s="535"/>
      <c r="G583" s="535"/>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row>
    <row r="584" spans="1:44" ht="15.5">
      <c r="A584" s="1280"/>
      <c r="B584" s="331" t="s">
        <v>232</v>
      </c>
      <c r="C584" s="676"/>
      <c r="D584" s="424"/>
      <c r="E584" s="535"/>
      <c r="F584" s="535"/>
      <c r="G584" s="535"/>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row>
    <row r="585" spans="1:44" ht="16" thickBot="1">
      <c r="A585" s="1281"/>
      <c r="B585" s="331" t="s">
        <v>233</v>
      </c>
      <c r="C585" s="676"/>
      <c r="D585" s="424"/>
      <c r="E585" s="535"/>
      <c r="F585" s="535"/>
      <c r="G585" s="535"/>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row>
    <row r="586" spans="1:44" ht="23.5" customHeight="1">
      <c r="A586" s="1279" t="s">
        <v>2535</v>
      </c>
      <c r="B586" s="331" t="s">
        <v>234</v>
      </c>
      <c r="C586" s="676"/>
      <c r="D586" s="424"/>
      <c r="E586" s="535"/>
      <c r="F586" s="535"/>
      <c r="G586" s="535"/>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row>
    <row r="587" spans="1:44" ht="28.4" customHeight="1" thickBot="1">
      <c r="A587" s="1281"/>
      <c r="B587" s="331" t="s">
        <v>235</v>
      </c>
      <c r="C587" s="676"/>
      <c r="D587" s="424"/>
      <c r="E587" s="535"/>
      <c r="F587" s="535"/>
      <c r="G587" s="535"/>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row>
    <row r="588" spans="1:44" ht="32.25" customHeight="1" thickBot="1">
      <c r="A588" s="1011" t="s">
        <v>2536</v>
      </c>
      <c r="B588" s="331" t="s">
        <v>237</v>
      </c>
      <c r="C588" s="326" t="s">
        <v>238</v>
      </c>
      <c r="D588" s="424"/>
      <c r="E588" s="535"/>
      <c r="F588" s="535"/>
      <c r="G588" s="535"/>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row>
    <row r="589" spans="1:44" ht="18" customHeight="1">
      <c r="A589" s="1279" t="s">
        <v>2546</v>
      </c>
      <c r="B589" s="331" t="s">
        <v>306</v>
      </c>
      <c r="C589" s="676"/>
      <c r="D589" s="424"/>
      <c r="E589" s="535"/>
      <c r="F589" s="535"/>
      <c r="G589" s="535"/>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row>
    <row r="590" spans="1:44" ht="17.899999999999999" customHeight="1">
      <c r="A590" s="1280"/>
      <c r="B590" s="331" t="s">
        <v>307</v>
      </c>
      <c r="C590" s="676"/>
      <c r="D590" s="424"/>
      <c r="E590" s="535"/>
      <c r="F590" s="535"/>
      <c r="G590" s="535"/>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row>
    <row r="591" spans="1:44" ht="16.399999999999999" customHeight="1" thickBot="1">
      <c r="A591" s="1281"/>
      <c r="B591" s="566" t="s">
        <v>308</v>
      </c>
      <c r="C591" s="677"/>
      <c r="D591" s="567"/>
      <c r="E591" s="535"/>
      <c r="F591" s="535"/>
      <c r="G591" s="535"/>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row>
    <row r="592" spans="1:44" ht="15.5" thickBot="1">
      <c r="B592" s="427" t="s">
        <v>245</v>
      </c>
      <c r="C592" s="340" t="s">
        <v>246</v>
      </c>
      <c r="D592" s="428" t="s">
        <v>104</v>
      </c>
      <c r="E592" s="29"/>
      <c r="F592" s="29"/>
      <c r="G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row>
    <row r="593" spans="1:44" ht="15.75" customHeight="1">
      <c r="A593" s="1193" t="s">
        <v>2554</v>
      </c>
      <c r="B593" s="720"/>
      <c r="C593" s="681"/>
      <c r="D593" s="453"/>
      <c r="E593" s="535"/>
      <c r="F593" s="535"/>
      <c r="G593" s="535"/>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row>
    <row r="594" spans="1:44">
      <c r="A594" s="1196"/>
      <c r="B594" s="720"/>
      <c r="C594" s="676"/>
      <c r="D594" s="324"/>
      <c r="E594" s="535"/>
      <c r="F594" s="535"/>
      <c r="G594" s="535"/>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row>
    <row r="595" spans="1:44">
      <c r="A595" s="1196"/>
      <c r="B595" s="720"/>
      <c r="C595" s="676"/>
      <c r="D595" s="324"/>
      <c r="E595" s="535"/>
      <c r="F595" s="535"/>
      <c r="G595" s="535"/>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row>
    <row r="596" spans="1:44">
      <c r="A596" s="1196"/>
      <c r="B596" s="720"/>
      <c r="C596" s="676"/>
      <c r="D596" s="324"/>
      <c r="E596" s="535"/>
      <c r="F596" s="535"/>
      <c r="G596" s="535"/>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row>
    <row r="597" spans="1:44">
      <c r="A597" s="1196"/>
      <c r="B597" s="720"/>
      <c r="C597" s="676"/>
      <c r="D597" s="324"/>
      <c r="E597" s="535"/>
      <c r="F597" s="535"/>
      <c r="G597" s="535"/>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row>
    <row r="598" spans="1:44">
      <c r="A598" s="1196"/>
      <c r="B598" s="720"/>
      <c r="C598" s="676"/>
      <c r="D598" s="324"/>
      <c r="E598" s="535"/>
      <c r="F598" s="535"/>
      <c r="G598" s="535"/>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row>
    <row r="599" spans="1:44">
      <c r="A599" s="1196"/>
      <c r="B599" s="720"/>
      <c r="C599" s="676"/>
      <c r="D599" s="324"/>
      <c r="E599" s="535"/>
      <c r="F599" s="535"/>
      <c r="G599" s="535"/>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row>
    <row r="600" spans="1:44">
      <c r="A600" s="1196"/>
      <c r="B600" s="720"/>
      <c r="C600" s="676"/>
      <c r="D600" s="324"/>
      <c r="E600" s="535"/>
      <c r="F600" s="535"/>
      <c r="G600" s="535"/>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row>
    <row r="601" spans="1:44">
      <c r="A601" s="1196"/>
      <c r="B601" s="720"/>
      <c r="C601" s="676"/>
      <c r="D601" s="324"/>
      <c r="E601" s="535"/>
      <c r="F601" s="535"/>
      <c r="G601" s="535"/>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row>
    <row r="602" spans="1:44">
      <c r="A602" s="1196"/>
      <c r="B602" s="720"/>
      <c r="C602" s="676"/>
      <c r="D602" s="324"/>
      <c r="E602" s="535"/>
      <c r="F602" s="535"/>
      <c r="G602" s="535"/>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row>
    <row r="603" spans="1:44">
      <c r="A603" s="1196"/>
      <c r="B603" s="720"/>
      <c r="C603" s="676"/>
      <c r="D603" s="324"/>
      <c r="E603" s="535"/>
      <c r="F603" s="535"/>
      <c r="G603" s="535"/>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row>
    <row r="604" spans="1:44">
      <c r="A604" s="1196"/>
      <c r="B604" s="720"/>
      <c r="C604" s="676"/>
      <c r="D604" s="324"/>
      <c r="E604" s="535"/>
      <c r="F604" s="535"/>
      <c r="G604" s="535"/>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row>
    <row r="605" spans="1:44">
      <c r="A605" s="1196"/>
      <c r="B605" s="720"/>
      <c r="C605" s="676"/>
      <c r="D605" s="324"/>
      <c r="E605" s="535"/>
      <c r="F605" s="535"/>
      <c r="G605" s="535"/>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row>
    <row r="606" spans="1:44">
      <c r="A606" s="1196"/>
      <c r="B606" s="720"/>
      <c r="C606" s="676"/>
      <c r="D606" s="324"/>
      <c r="E606" s="535"/>
      <c r="F606" s="535"/>
      <c r="G606" s="535"/>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row>
    <row r="607" spans="1:44" ht="15" thickBot="1">
      <c r="A607" s="1196"/>
      <c r="B607" s="720"/>
      <c r="C607" s="677"/>
      <c r="D607" s="449"/>
      <c r="E607" s="535"/>
      <c r="F607" s="535"/>
      <c r="G607" s="535"/>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row>
    <row r="608" spans="1:44" ht="15.5" thickBot="1">
      <c r="B608" s="392"/>
      <c r="C608" s="393" t="s">
        <v>255</v>
      </c>
      <c r="D608" s="428" t="s">
        <v>104</v>
      </c>
      <c r="E608" s="535"/>
      <c r="F608" s="535"/>
      <c r="G608" s="535"/>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row>
    <row r="609" spans="1:44" ht="14.5" customHeight="1">
      <c r="A609" s="1279" t="s">
        <v>2560</v>
      </c>
      <c r="B609" s="560"/>
      <c r="C609" s="771"/>
      <c r="D609" s="453"/>
      <c r="E609" s="535"/>
      <c r="F609" s="535"/>
      <c r="G609" s="535"/>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row>
    <row r="610" spans="1:44" ht="15" customHeight="1">
      <c r="A610" s="1280"/>
      <c r="B610" s="546"/>
      <c r="C610" s="771"/>
      <c r="D610" s="324"/>
      <c r="E610" s="535"/>
      <c r="F610" s="535"/>
      <c r="G610" s="535"/>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row>
    <row r="611" spans="1:44">
      <c r="A611" s="1280"/>
      <c r="B611" s="546"/>
      <c r="C611" s="771"/>
      <c r="D611" s="324"/>
      <c r="E611" s="535"/>
      <c r="F611" s="535"/>
      <c r="G611" s="535"/>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row>
    <row r="612" spans="1:44">
      <c r="A612" s="1280"/>
      <c r="B612" s="546"/>
      <c r="C612" s="771"/>
      <c r="D612" s="324"/>
      <c r="E612" s="535"/>
      <c r="F612" s="535"/>
      <c r="G612" s="535"/>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row>
    <row r="613" spans="1:44">
      <c r="A613" s="1280"/>
      <c r="B613" s="546"/>
      <c r="C613" s="771"/>
      <c r="D613" s="324"/>
      <c r="E613" s="535"/>
      <c r="F613" s="535"/>
      <c r="G613" s="535"/>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row>
    <row r="614" spans="1:44">
      <c r="A614" s="1280"/>
      <c r="B614" s="546"/>
      <c r="C614" s="771"/>
      <c r="D614" s="324"/>
      <c r="E614" s="535"/>
      <c r="F614" s="535"/>
      <c r="G614" s="535"/>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row>
    <row r="615" spans="1:44">
      <c r="A615" s="1280"/>
      <c r="B615" s="546"/>
      <c r="C615" s="771"/>
      <c r="D615" s="324"/>
      <c r="E615" s="535"/>
      <c r="F615" s="535"/>
      <c r="G615" s="535"/>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row>
    <row r="616" spans="1:44">
      <c r="A616" s="1280"/>
      <c r="B616" s="546"/>
      <c r="C616" s="771"/>
      <c r="D616" s="324"/>
      <c r="E616" s="535"/>
      <c r="F616" s="535"/>
      <c r="G616" s="535"/>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row>
    <row r="617" spans="1:44" ht="15" thickBot="1">
      <c r="A617" s="1281"/>
      <c r="B617" s="561"/>
      <c r="C617" s="1046"/>
      <c r="D617" s="449"/>
      <c r="E617" s="1059"/>
      <c r="F617" s="535"/>
      <c r="G617" s="535"/>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row>
    <row r="618" spans="1:44" ht="16" thickBot="1">
      <c r="A618" s="1034"/>
      <c r="B618" s="392"/>
      <c r="C618" s="393" t="s">
        <v>256</v>
      </c>
      <c r="D618" s="454" t="s">
        <v>104</v>
      </c>
      <c r="E618" s="901" t="s">
        <v>88</v>
      </c>
      <c r="F618" s="535"/>
      <c r="G618" s="535"/>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row>
    <row r="619" spans="1:44" ht="15.65" customHeight="1">
      <c r="A619" s="1279" t="s">
        <v>2571</v>
      </c>
      <c r="B619" s="450"/>
      <c r="C619" s="556"/>
      <c r="D619" s="556"/>
      <c r="E619" s="324"/>
      <c r="F619" s="535"/>
      <c r="G619" s="535"/>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row>
    <row r="620" spans="1:44">
      <c r="A620" s="1280"/>
      <c r="B620" s="450"/>
      <c r="C620" s="175"/>
      <c r="D620" s="175"/>
      <c r="E620" s="1045"/>
      <c r="F620" s="535"/>
      <c r="G620" s="535"/>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row>
    <row r="621" spans="1:44">
      <c r="A621" s="1280"/>
      <c r="B621" s="450"/>
      <c r="C621" s="175"/>
      <c r="D621" s="175"/>
      <c r="E621" s="1045"/>
      <c r="F621" s="535"/>
      <c r="G621" s="535"/>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row>
    <row r="622" spans="1:44">
      <c r="A622" s="1280"/>
      <c r="B622" s="450"/>
      <c r="C622" s="175"/>
      <c r="D622" s="175"/>
      <c r="E622" s="1045"/>
      <c r="F622" s="535"/>
      <c r="G622" s="535"/>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row>
    <row r="623" spans="1:44">
      <c r="A623" s="1280"/>
      <c r="B623" s="450"/>
      <c r="C623" s="175"/>
      <c r="D623" s="175"/>
      <c r="E623" s="1045"/>
      <c r="F623" s="535"/>
      <c r="G623" s="535"/>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row>
    <row r="624" spans="1:44">
      <c r="A624" s="1280"/>
      <c r="B624" s="450"/>
      <c r="C624" s="175"/>
      <c r="D624" s="175"/>
      <c r="E624" s="1045"/>
      <c r="F624" s="535"/>
      <c r="G624" s="535"/>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row>
    <row r="625" spans="1:44">
      <c r="A625" s="1280"/>
      <c r="B625" s="450"/>
      <c r="C625" s="175"/>
      <c r="D625" s="175"/>
      <c r="E625" s="1045"/>
      <c r="F625" s="535"/>
      <c r="G625" s="535"/>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row>
    <row r="626" spans="1:44">
      <c r="A626" s="1280"/>
      <c r="B626" s="450"/>
      <c r="C626" s="175"/>
      <c r="D626" s="175"/>
      <c r="E626" s="1045"/>
      <c r="F626" s="535"/>
      <c r="G626" s="535"/>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row>
    <row r="627" spans="1:44">
      <c r="A627" s="1280"/>
      <c r="B627" s="450"/>
      <c r="C627" s="175"/>
      <c r="D627" s="175"/>
      <c r="E627" s="1045"/>
      <c r="F627" s="535"/>
      <c r="G627" s="535"/>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row>
    <row r="628" spans="1:44">
      <c r="A628" s="1280"/>
      <c r="B628" s="450"/>
      <c r="C628" s="175"/>
      <c r="D628" s="175"/>
      <c r="E628" s="1045"/>
      <c r="F628" s="535"/>
      <c r="G628" s="535"/>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row>
    <row r="629" spans="1:44" ht="15" thickBot="1">
      <c r="A629" s="1281"/>
      <c r="B629" s="450"/>
      <c r="C629" s="175"/>
      <c r="D629" s="175"/>
      <c r="E629" s="1045"/>
      <c r="F629" s="535"/>
      <c r="G629" s="535"/>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row>
    <row r="630" spans="1:44" ht="16" thickBot="1">
      <c r="A630" s="1279" t="s">
        <v>2541</v>
      </c>
      <c r="B630" s="450"/>
      <c r="C630" s="929" t="s">
        <v>258</v>
      </c>
      <c r="D630" s="929" t="s">
        <v>104</v>
      </c>
      <c r="E630" s="930" t="s">
        <v>105</v>
      </c>
      <c r="F630" s="535"/>
      <c r="G630" s="535"/>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row>
    <row r="631" spans="1:44" ht="14.5" customHeight="1">
      <c r="A631" s="1280"/>
      <c r="B631" s="450"/>
      <c r="C631" s="556"/>
      <c r="D631" s="556"/>
      <c r="E631" s="453"/>
      <c r="F631" s="948"/>
      <c r="G631" s="948"/>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row>
    <row r="632" spans="1:44">
      <c r="A632" s="1280"/>
      <c r="B632" s="450"/>
      <c r="C632" s="175"/>
      <c r="D632" s="175"/>
      <c r="E632" s="324"/>
      <c r="F632" s="948"/>
      <c r="G632" s="948"/>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row>
    <row r="633" spans="1:44">
      <c r="A633" s="1280"/>
      <c r="B633" s="450"/>
      <c r="C633" s="556"/>
      <c r="D633" s="556"/>
      <c r="E633" s="453"/>
      <c r="F633" s="948"/>
      <c r="G633" s="948"/>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row>
    <row r="634" spans="1:44" ht="15" thickBot="1">
      <c r="A634" s="1281"/>
      <c r="B634" s="451"/>
      <c r="C634" s="557"/>
      <c r="D634" s="557"/>
      <c r="E634" s="449"/>
      <c r="F634" s="948"/>
      <c r="G634" s="948"/>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row>
    <row r="635" spans="1:44" ht="16" thickBot="1">
      <c r="B635" s="1268" t="s">
        <v>167</v>
      </c>
      <c r="C635" s="1269"/>
      <c r="D635" s="1270"/>
      <c r="E635" s="29"/>
      <c r="F635" s="29"/>
      <c r="G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row>
    <row r="636" spans="1:44" ht="16.5" customHeight="1" thickBot="1">
      <c r="B636" s="425"/>
      <c r="C636" s="340" t="s">
        <v>168</v>
      </c>
      <c r="D636" s="562" t="s">
        <v>169</v>
      </c>
      <c r="E636" s="29"/>
      <c r="F636" s="29"/>
      <c r="G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row>
    <row r="637" spans="1:44" ht="15" customHeight="1">
      <c r="A637" s="1279" t="s">
        <v>2542</v>
      </c>
      <c r="B637" s="560"/>
      <c r="C637" s="758"/>
      <c r="D637" s="573"/>
      <c r="E637" s="658"/>
      <c r="F637" s="658"/>
      <c r="G637" s="658"/>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row>
    <row r="638" spans="1:44" ht="16.5" customHeight="1">
      <c r="A638" s="1280"/>
      <c r="B638" s="546"/>
      <c r="C638" s="663"/>
      <c r="D638" s="324"/>
      <c r="E638" s="658"/>
      <c r="F638" s="658"/>
      <c r="G638" s="658"/>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row>
    <row r="639" spans="1:44" ht="16.5" customHeight="1">
      <c r="A639" s="1280"/>
      <c r="B639" s="546"/>
      <c r="C639" s="663"/>
      <c r="D639" s="324"/>
      <c r="E639" s="658"/>
      <c r="F639" s="658"/>
      <c r="G639" s="658"/>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row>
    <row r="640" spans="1:44" ht="16.5" customHeight="1">
      <c r="A640" s="1280"/>
      <c r="B640" s="546"/>
      <c r="C640" s="663"/>
      <c r="D640" s="324"/>
      <c r="E640" s="658"/>
      <c r="F640" s="658"/>
      <c r="G640" s="658"/>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row>
    <row r="641" spans="1:44" ht="16.5" customHeight="1">
      <c r="A641" s="1280"/>
      <c r="B641" s="546"/>
      <c r="C641" s="663"/>
      <c r="D641" s="324"/>
      <c r="E641" s="658"/>
      <c r="F641" s="658"/>
      <c r="G641" s="658"/>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row>
    <row r="642" spans="1:44" ht="16.5" customHeight="1">
      <c r="A642" s="1280"/>
      <c r="B642" s="546"/>
      <c r="C642" s="663"/>
      <c r="D642" s="324"/>
      <c r="E642" s="658"/>
      <c r="F642" s="658"/>
      <c r="G642" s="658"/>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row>
    <row r="643" spans="1:44" ht="16.5" customHeight="1">
      <c r="A643" s="1280"/>
      <c r="B643" s="546"/>
      <c r="C643" s="663"/>
      <c r="D643" s="324"/>
      <c r="E643" s="658"/>
      <c r="F643" s="658"/>
      <c r="G643" s="658"/>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row>
    <row r="644" spans="1:44" ht="16.5" customHeight="1">
      <c r="A644" s="1280"/>
      <c r="B644" s="546"/>
      <c r="C644" s="663"/>
      <c r="D644" s="324"/>
      <c r="E644" s="658"/>
      <c r="F644" s="658"/>
      <c r="G644" s="658"/>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row>
    <row r="645" spans="1:44" ht="16.5" customHeight="1">
      <c r="A645" s="1280"/>
      <c r="B645" s="546"/>
      <c r="C645" s="663"/>
      <c r="D645" s="324"/>
      <c r="E645" s="658"/>
      <c r="F645" s="658"/>
      <c r="G645" s="658"/>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row>
    <row r="646" spans="1:44" ht="16.5" customHeight="1" thickBot="1">
      <c r="A646" s="1281"/>
      <c r="B646" s="561"/>
      <c r="C646" s="750"/>
      <c r="D646" s="449"/>
      <c r="E646" s="29"/>
      <c r="F646" s="29"/>
      <c r="G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row>
    <row r="647" spans="1:44" ht="16" thickBot="1">
      <c r="B647" s="1247" t="s">
        <v>265</v>
      </c>
      <c r="C647" s="1246"/>
      <c r="D647" s="1248"/>
      <c r="E647" s="29"/>
      <c r="F647" s="29"/>
      <c r="G647" s="29"/>
      <c r="W647" s="29"/>
      <c r="X647" s="29"/>
      <c r="Y647" s="29"/>
      <c r="Z647" s="29"/>
      <c r="AA647" s="29"/>
      <c r="AB647" s="29"/>
      <c r="AC647" s="29"/>
      <c r="AD647" s="29"/>
      <c r="AE647" s="29"/>
      <c r="AF647" s="29"/>
      <c r="AG647" s="29"/>
      <c r="AH647" s="29"/>
      <c r="AI647" s="29"/>
      <c r="AJ647" s="29"/>
      <c r="AK647" s="29"/>
      <c r="AL647" s="29"/>
      <c r="AM647" s="29"/>
      <c r="AN647" s="29"/>
      <c r="AO647" s="29"/>
      <c r="AP647" s="29"/>
      <c r="AQ647" s="29"/>
      <c r="AR647" s="29"/>
    </row>
    <row r="648" spans="1:44" ht="16.5" customHeight="1" thickBot="1">
      <c r="B648" s="455"/>
      <c r="C648" s="393" t="s">
        <v>172</v>
      </c>
      <c r="D648" s="454" t="s">
        <v>169</v>
      </c>
      <c r="E648" s="29"/>
      <c r="F648" s="29"/>
      <c r="G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row>
    <row r="649" spans="1:44" ht="16.5" customHeight="1">
      <c r="A649" s="1279" t="s">
        <v>313</v>
      </c>
      <c r="B649" s="560"/>
      <c r="C649" s="756"/>
      <c r="D649" s="453"/>
      <c r="E649" s="658"/>
      <c r="F649" s="658"/>
      <c r="G649" s="658"/>
      <c r="W649" s="29"/>
      <c r="X649" s="29"/>
      <c r="Y649" s="29"/>
      <c r="Z649" s="29"/>
      <c r="AA649" s="29"/>
      <c r="AB649" s="29"/>
      <c r="AC649" s="29"/>
      <c r="AD649" s="29"/>
      <c r="AE649" s="29"/>
      <c r="AF649" s="29"/>
      <c r="AG649" s="29"/>
      <c r="AH649" s="29"/>
      <c r="AI649" s="29"/>
      <c r="AJ649" s="29"/>
      <c r="AK649" s="29"/>
      <c r="AL649" s="29"/>
      <c r="AM649" s="29"/>
      <c r="AN649" s="29"/>
      <c r="AO649" s="29"/>
      <c r="AP649" s="29"/>
      <c r="AQ649" s="29"/>
      <c r="AR649" s="29"/>
    </row>
    <row r="650" spans="1:44" ht="16.5" customHeight="1">
      <c r="A650" s="1280"/>
      <c r="B650" s="546"/>
      <c r="C650" s="762"/>
      <c r="D650" s="324"/>
      <c r="E650" s="658"/>
      <c r="F650" s="658"/>
      <c r="G650" s="658"/>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row>
    <row r="651" spans="1:44" ht="16.5" customHeight="1">
      <c r="A651" s="1280"/>
      <c r="B651" s="546"/>
      <c r="C651" s="762"/>
      <c r="D651" s="324"/>
      <c r="E651" s="658"/>
      <c r="F651" s="658"/>
      <c r="G651" s="658"/>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row>
    <row r="652" spans="1:44" ht="16.5" customHeight="1">
      <c r="A652" s="1280"/>
      <c r="B652" s="546"/>
      <c r="C652" s="762"/>
      <c r="D652" s="324"/>
      <c r="E652" s="658"/>
      <c r="F652" s="658"/>
      <c r="G652" s="658"/>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row>
    <row r="653" spans="1:44" ht="16.5" customHeight="1">
      <c r="A653" s="1280"/>
      <c r="B653" s="546"/>
      <c r="C653" s="762"/>
      <c r="D653" s="324"/>
      <c r="E653" s="658"/>
      <c r="F653" s="658"/>
      <c r="G653" s="658"/>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row>
    <row r="654" spans="1:44" ht="16.5" customHeight="1">
      <c r="A654" s="1280"/>
      <c r="B654" s="546"/>
      <c r="C654" s="762"/>
      <c r="D654" s="324"/>
      <c r="E654" s="658"/>
      <c r="F654" s="658"/>
      <c r="G654" s="658"/>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row>
    <row r="655" spans="1:44" ht="16.5" customHeight="1">
      <c r="A655" s="1280"/>
      <c r="B655" s="546"/>
      <c r="C655" s="762"/>
      <c r="D655" s="324"/>
      <c r="E655" s="658"/>
      <c r="F655" s="658"/>
      <c r="G655" s="658"/>
      <c r="W655" s="29"/>
      <c r="X655" s="29"/>
      <c r="Y655" s="29"/>
      <c r="Z655" s="29"/>
      <c r="AA655" s="29"/>
      <c r="AB655" s="29"/>
      <c r="AC655" s="29"/>
      <c r="AD655" s="29"/>
      <c r="AE655" s="29"/>
      <c r="AF655" s="29"/>
      <c r="AG655" s="29"/>
      <c r="AH655" s="29"/>
      <c r="AI655" s="29"/>
      <c r="AJ655" s="29"/>
      <c r="AK655" s="29"/>
      <c r="AL655" s="29"/>
      <c r="AM655" s="29"/>
      <c r="AN655" s="29"/>
      <c r="AO655" s="29"/>
      <c r="AP655" s="29"/>
      <c r="AQ655" s="29"/>
      <c r="AR655" s="29"/>
    </row>
    <row r="656" spans="1:44" ht="16.5" customHeight="1">
      <c r="A656" s="1280"/>
      <c r="B656" s="546"/>
      <c r="C656" s="762"/>
      <c r="D656" s="324"/>
      <c r="E656" s="658"/>
      <c r="F656" s="658"/>
      <c r="G656" s="658"/>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row>
    <row r="657" spans="1:44" ht="16.5" customHeight="1" thickBot="1">
      <c r="A657" s="1281"/>
      <c r="B657" s="561"/>
      <c r="C657" s="763"/>
      <c r="D657" s="449"/>
      <c r="E657" s="658"/>
      <c r="F657" s="658"/>
      <c r="G657" s="658"/>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row>
    <row r="658" spans="1:44">
      <c r="A658" s="391"/>
      <c r="B658" s="738"/>
      <c r="C658" s="738"/>
      <c r="D658" s="738"/>
      <c r="E658" s="738"/>
      <c r="F658" s="738"/>
      <c r="G658" s="738"/>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row>
    <row r="659" spans="1:44">
      <c r="B659" s="738"/>
      <c r="C659" s="738"/>
      <c r="D659" s="738"/>
      <c r="E659" s="738"/>
      <c r="F659" s="738"/>
      <c r="G659" s="738"/>
      <c r="W659" s="29"/>
      <c r="X659" s="29"/>
      <c r="Y659" s="29"/>
      <c r="Z659" s="29"/>
      <c r="AA659" s="29"/>
      <c r="AB659" s="29"/>
      <c r="AC659" s="29"/>
      <c r="AD659" s="29"/>
      <c r="AE659" s="29"/>
      <c r="AF659" s="29"/>
      <c r="AG659" s="29"/>
      <c r="AH659" s="29"/>
      <c r="AI659" s="29"/>
      <c r="AJ659" s="29"/>
      <c r="AK659" s="29"/>
      <c r="AL659" s="29"/>
      <c r="AM659" s="29"/>
      <c r="AN659" s="29"/>
      <c r="AO659" s="29"/>
      <c r="AP659" s="29"/>
      <c r="AQ659" s="29"/>
      <c r="AR659" s="29"/>
    </row>
    <row r="660" spans="1:44">
      <c r="B660" s="738"/>
      <c r="C660" s="738"/>
      <c r="D660" s="738"/>
      <c r="E660" s="738"/>
      <c r="F660" s="738"/>
      <c r="G660" s="738"/>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row>
    <row r="661" spans="1:44">
      <c r="B661" s="738"/>
      <c r="C661" s="738"/>
      <c r="D661" s="738"/>
      <c r="E661" s="738"/>
      <c r="F661" s="738"/>
      <c r="G661" s="738"/>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row>
    <row r="662" spans="1:44">
      <c r="A662" s="1037"/>
      <c r="B662" s="738"/>
      <c r="C662" s="738"/>
      <c r="D662" s="738"/>
      <c r="E662" s="738"/>
      <c r="F662" s="738"/>
      <c r="G662" s="738"/>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row>
    <row r="663" spans="1:44">
      <c r="A663" s="1037"/>
      <c r="B663" s="738"/>
      <c r="C663" s="738"/>
      <c r="D663" s="738"/>
      <c r="E663" s="738"/>
      <c r="F663" s="738"/>
      <c r="G663" s="738"/>
      <c r="W663" s="29"/>
      <c r="X663" s="29"/>
      <c r="Y663" s="29"/>
      <c r="Z663" s="29"/>
      <c r="AA663" s="29"/>
      <c r="AB663" s="29"/>
      <c r="AC663" s="29"/>
      <c r="AD663" s="29"/>
      <c r="AE663" s="29"/>
      <c r="AF663" s="29"/>
      <c r="AG663" s="29"/>
      <c r="AH663" s="29"/>
      <c r="AI663" s="29"/>
      <c r="AJ663" s="29"/>
      <c r="AK663" s="29"/>
      <c r="AL663" s="29"/>
      <c r="AM663" s="29"/>
      <c r="AN663" s="29"/>
      <c r="AO663" s="29"/>
      <c r="AP663" s="29"/>
      <c r="AQ663" s="29"/>
      <c r="AR663" s="29"/>
    </row>
    <row r="664" spans="1:44">
      <c r="A664" s="1037"/>
      <c r="B664" s="738"/>
      <c r="C664" s="738"/>
      <c r="D664" s="738"/>
      <c r="E664" s="738"/>
      <c r="F664" s="738"/>
      <c r="G664" s="738"/>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row>
    <row r="665" spans="1:44">
      <c r="A665" s="1037"/>
      <c r="B665" s="738"/>
      <c r="C665" s="738"/>
      <c r="D665" s="738"/>
      <c r="E665" s="738"/>
      <c r="F665" s="738"/>
      <c r="G665" s="738"/>
      <c r="W665" s="29"/>
      <c r="X665" s="29"/>
      <c r="Y665" s="29"/>
      <c r="Z665" s="29"/>
      <c r="AA665" s="29"/>
      <c r="AB665" s="29"/>
      <c r="AC665" s="29"/>
      <c r="AD665" s="29"/>
      <c r="AE665" s="29"/>
      <c r="AF665" s="29"/>
      <c r="AG665" s="29"/>
      <c r="AH665" s="29"/>
      <c r="AI665" s="29"/>
      <c r="AJ665" s="29"/>
      <c r="AK665" s="29"/>
      <c r="AL665" s="29"/>
      <c r="AM665" s="29"/>
      <c r="AN665" s="29"/>
      <c r="AO665" s="29"/>
      <c r="AP665" s="29"/>
      <c r="AQ665" s="29"/>
      <c r="AR665" s="29"/>
    </row>
    <row r="666" spans="1:44">
      <c r="A666" s="1037"/>
      <c r="B666" s="738"/>
      <c r="C666" s="738"/>
      <c r="D666" s="738"/>
      <c r="E666" s="738"/>
      <c r="F666" s="738"/>
      <c r="G666" s="738"/>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row>
    <row r="667" spans="1:44">
      <c r="A667" s="1037"/>
      <c r="B667" s="738"/>
      <c r="C667" s="738"/>
      <c r="D667" s="738"/>
      <c r="E667" s="738"/>
      <c r="F667" s="738"/>
      <c r="G667" s="738"/>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row>
    <row r="668" spans="1:44">
      <c r="A668" s="1037"/>
      <c r="B668" s="738"/>
      <c r="C668" s="738"/>
      <c r="D668" s="738"/>
      <c r="E668" s="738"/>
      <c r="F668" s="738"/>
      <c r="G668" s="738"/>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row>
    <row r="669" spans="1:44">
      <c r="A669" s="1037"/>
      <c r="B669" s="738"/>
      <c r="C669" s="738"/>
      <c r="D669" s="738"/>
      <c r="E669" s="738"/>
      <c r="F669" s="738"/>
      <c r="G669" s="738"/>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row>
    <row r="670" spans="1:44">
      <c r="A670" s="1037"/>
      <c r="B670" s="738"/>
      <c r="C670" s="738"/>
      <c r="D670" s="738"/>
      <c r="E670" s="738"/>
      <c r="F670" s="738"/>
      <c r="G670" s="738"/>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row>
    <row r="671" spans="1:44">
      <c r="A671" s="1037"/>
      <c r="B671" s="738"/>
      <c r="C671" s="738"/>
      <c r="D671" s="738"/>
      <c r="E671" s="738"/>
      <c r="F671" s="738"/>
      <c r="G671" s="738"/>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row>
    <row r="672" spans="1:44">
      <c r="A672" s="1037"/>
      <c r="B672" s="738"/>
      <c r="C672" s="738"/>
      <c r="D672" s="738"/>
      <c r="E672" s="738"/>
      <c r="F672" s="738"/>
      <c r="G672" s="738"/>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row>
    <row r="673" spans="1:44">
      <c r="A673" s="1037"/>
      <c r="B673" s="738"/>
      <c r="C673" s="738"/>
      <c r="D673" s="738"/>
      <c r="E673" s="738"/>
      <c r="F673" s="738"/>
      <c r="G673" s="738"/>
      <c r="W673" s="29"/>
      <c r="X673" s="29"/>
      <c r="Y673" s="29"/>
      <c r="Z673" s="29"/>
      <c r="AA673" s="29"/>
      <c r="AB673" s="29"/>
      <c r="AC673" s="29"/>
      <c r="AD673" s="29"/>
      <c r="AE673" s="29"/>
      <c r="AF673" s="29"/>
      <c r="AG673" s="29"/>
      <c r="AH673" s="29"/>
      <c r="AI673" s="29"/>
      <c r="AJ673" s="29"/>
      <c r="AK673" s="29"/>
      <c r="AL673" s="29"/>
      <c r="AM673" s="29"/>
      <c r="AN673" s="29"/>
      <c r="AO673" s="29"/>
      <c r="AP673" s="29"/>
      <c r="AQ673" s="29"/>
      <c r="AR673" s="29"/>
    </row>
    <row r="674" spans="1:44">
      <c r="A674" s="1037"/>
      <c r="B674" s="738"/>
      <c r="C674" s="738"/>
      <c r="D674" s="738"/>
      <c r="E674" s="738"/>
      <c r="F674" s="738"/>
      <c r="G674" s="738"/>
      <c r="W674" s="29"/>
      <c r="X674" s="29"/>
      <c r="Y674" s="29"/>
      <c r="Z674" s="29"/>
      <c r="AA674" s="29"/>
      <c r="AB674" s="29"/>
      <c r="AC674" s="29"/>
      <c r="AD674" s="29"/>
      <c r="AE674" s="29"/>
      <c r="AF674" s="29"/>
      <c r="AG674" s="29"/>
      <c r="AH674" s="29"/>
      <c r="AI674" s="29"/>
      <c r="AJ674" s="29"/>
      <c r="AK674" s="29"/>
      <c r="AL674" s="29"/>
      <c r="AM674" s="29"/>
      <c r="AN674" s="29"/>
      <c r="AO674" s="29"/>
      <c r="AP674" s="29"/>
      <c r="AQ674" s="29"/>
      <c r="AR674" s="29"/>
    </row>
    <row r="675" spans="1:44">
      <c r="A675" s="1037"/>
      <c r="B675" s="738"/>
      <c r="C675" s="738"/>
      <c r="D675" s="738"/>
      <c r="E675" s="738"/>
      <c r="F675" s="738"/>
      <c r="G675" s="738"/>
      <c r="W675" s="29"/>
      <c r="X675" s="29"/>
      <c r="Y675" s="29"/>
      <c r="Z675" s="29"/>
      <c r="AA675" s="29"/>
      <c r="AB675" s="29"/>
      <c r="AC675" s="29"/>
      <c r="AD675" s="29"/>
      <c r="AE675" s="29"/>
      <c r="AF675" s="29"/>
      <c r="AG675" s="29"/>
      <c r="AH675" s="29"/>
      <c r="AI675" s="29"/>
      <c r="AJ675" s="29"/>
      <c r="AK675" s="29"/>
      <c r="AL675" s="29"/>
      <c r="AM675" s="29"/>
      <c r="AN675" s="29"/>
      <c r="AO675" s="29"/>
      <c r="AP675" s="29"/>
      <c r="AQ675" s="29"/>
      <c r="AR675" s="29"/>
    </row>
    <row r="676" spans="1:44">
      <c r="A676" s="1037"/>
      <c r="B676" s="738"/>
      <c r="C676" s="738"/>
      <c r="D676" s="738"/>
      <c r="E676" s="738"/>
      <c r="F676" s="738"/>
      <c r="G676" s="738"/>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row>
    <row r="677" spans="1:44">
      <c r="A677" s="1037"/>
      <c r="B677" s="738"/>
      <c r="C677" s="738"/>
      <c r="D677" s="738"/>
      <c r="E677" s="738"/>
      <c r="F677" s="738"/>
      <c r="G677" s="738"/>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row>
    <row r="678" spans="1:44">
      <c r="A678" s="1037"/>
      <c r="B678" s="738"/>
      <c r="C678" s="738"/>
      <c r="D678" s="738"/>
      <c r="E678" s="738"/>
      <c r="F678" s="738"/>
      <c r="G678" s="738"/>
      <c r="W678" s="29"/>
      <c r="X678" s="29"/>
      <c r="Y678" s="29"/>
      <c r="Z678" s="29"/>
      <c r="AA678" s="29"/>
      <c r="AB678" s="29"/>
      <c r="AC678" s="29"/>
      <c r="AD678" s="29"/>
      <c r="AE678" s="29"/>
      <c r="AF678" s="29"/>
      <c r="AG678" s="29"/>
      <c r="AH678" s="29"/>
      <c r="AI678" s="29"/>
      <c r="AJ678" s="29"/>
      <c r="AK678" s="29"/>
      <c r="AL678" s="29"/>
      <c r="AM678" s="29"/>
      <c r="AN678" s="29"/>
      <c r="AO678" s="29"/>
      <c r="AP678" s="29"/>
      <c r="AQ678" s="29"/>
      <c r="AR678" s="29"/>
    </row>
    <row r="679" spans="1:44">
      <c r="A679" s="1037"/>
      <c r="B679" s="738"/>
      <c r="C679" s="738"/>
      <c r="D679" s="738"/>
      <c r="E679" s="738"/>
      <c r="F679" s="738"/>
      <c r="G679" s="738"/>
      <c r="W679" s="29"/>
      <c r="X679" s="29"/>
      <c r="Y679" s="29"/>
      <c r="Z679" s="29"/>
      <c r="AA679" s="29"/>
      <c r="AB679" s="29"/>
      <c r="AC679" s="29"/>
      <c r="AD679" s="29"/>
      <c r="AE679" s="29"/>
      <c r="AF679" s="29"/>
      <c r="AG679" s="29"/>
      <c r="AH679" s="29"/>
      <c r="AI679" s="29"/>
      <c r="AJ679" s="29"/>
      <c r="AK679" s="29"/>
      <c r="AL679" s="29"/>
      <c r="AM679" s="29"/>
      <c r="AN679" s="29"/>
      <c r="AO679" s="29"/>
      <c r="AP679" s="29"/>
      <c r="AQ679" s="29"/>
      <c r="AR679" s="29"/>
    </row>
    <row r="680" spans="1:44">
      <c r="A680" s="1037"/>
      <c r="B680" s="738"/>
      <c r="C680" s="738"/>
      <c r="D680" s="738"/>
      <c r="E680" s="738"/>
      <c r="F680" s="738"/>
      <c r="G680" s="738"/>
      <c r="W680" s="29"/>
      <c r="X680" s="29"/>
      <c r="Y680" s="29"/>
      <c r="Z680" s="29"/>
      <c r="AA680" s="29"/>
      <c r="AB680" s="29"/>
      <c r="AC680" s="29"/>
      <c r="AD680" s="29"/>
      <c r="AE680" s="29"/>
      <c r="AF680" s="29"/>
      <c r="AG680" s="29"/>
      <c r="AH680" s="29"/>
      <c r="AI680" s="29"/>
      <c r="AJ680" s="29"/>
      <c r="AK680" s="29"/>
      <c r="AL680" s="29"/>
      <c r="AM680" s="29"/>
      <c r="AN680" s="29"/>
      <c r="AO680" s="29"/>
      <c r="AP680" s="29"/>
      <c r="AQ680" s="29"/>
      <c r="AR680" s="29"/>
    </row>
    <row r="681" spans="1:44">
      <c r="A681" s="1037"/>
      <c r="B681" s="738"/>
      <c r="C681" s="738"/>
      <c r="D681" s="738"/>
      <c r="E681" s="738"/>
      <c r="F681" s="738"/>
      <c r="G681" s="738"/>
      <c r="W681" s="29"/>
      <c r="X681" s="29"/>
      <c r="Y681" s="29"/>
      <c r="Z681" s="29"/>
      <c r="AA681" s="29"/>
      <c r="AB681" s="29"/>
      <c r="AC681" s="29"/>
      <c r="AD681" s="29"/>
      <c r="AE681" s="29"/>
      <c r="AF681" s="29"/>
      <c r="AG681" s="29"/>
      <c r="AH681" s="29"/>
      <c r="AI681" s="29"/>
      <c r="AJ681" s="29"/>
      <c r="AK681" s="29"/>
      <c r="AL681" s="29"/>
      <c r="AM681" s="29"/>
      <c r="AN681" s="29"/>
      <c r="AO681" s="29"/>
      <c r="AP681" s="29"/>
      <c r="AQ681" s="29"/>
      <c r="AR681" s="29"/>
    </row>
    <row r="682" spans="1:44">
      <c r="A682" s="1037"/>
      <c r="B682" s="738"/>
      <c r="C682" s="738"/>
      <c r="D682" s="738"/>
      <c r="E682" s="738"/>
      <c r="F682" s="738"/>
      <c r="G682" s="738"/>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row>
    <row r="683" spans="1:44">
      <c r="A683" s="1037"/>
      <c r="B683" s="738"/>
      <c r="C683" s="738"/>
      <c r="D683" s="738"/>
      <c r="E683" s="738"/>
      <c r="F683" s="738"/>
      <c r="G683" s="738"/>
      <c r="W683" s="29"/>
      <c r="X683" s="29"/>
      <c r="Y683" s="29"/>
      <c r="Z683" s="29"/>
      <c r="AA683" s="29"/>
      <c r="AB683" s="29"/>
      <c r="AC683" s="29"/>
      <c r="AD683" s="29"/>
      <c r="AE683" s="29"/>
      <c r="AF683" s="29"/>
      <c r="AG683" s="29"/>
      <c r="AH683" s="29"/>
      <c r="AI683" s="29"/>
      <c r="AJ683" s="29"/>
      <c r="AK683" s="29"/>
      <c r="AL683" s="29"/>
      <c r="AM683" s="29"/>
      <c r="AN683" s="29"/>
      <c r="AO683" s="29"/>
      <c r="AP683" s="29"/>
      <c r="AQ683" s="29"/>
      <c r="AR683" s="29"/>
    </row>
    <row r="684" spans="1:44">
      <c r="A684" s="1037"/>
      <c r="B684" s="738"/>
      <c r="C684" s="738"/>
      <c r="D684" s="738"/>
      <c r="E684" s="738"/>
      <c r="F684" s="738"/>
      <c r="G684" s="738"/>
      <c r="W684" s="29"/>
      <c r="X684" s="29"/>
      <c r="Y684" s="29"/>
      <c r="Z684" s="29"/>
      <c r="AA684" s="29"/>
      <c r="AB684" s="29"/>
      <c r="AC684" s="29"/>
      <c r="AD684" s="29"/>
      <c r="AE684" s="29"/>
      <c r="AF684" s="29"/>
      <c r="AG684" s="29"/>
      <c r="AH684" s="29"/>
      <c r="AI684" s="29"/>
      <c r="AJ684" s="29"/>
      <c r="AK684" s="29"/>
      <c r="AL684" s="29"/>
      <c r="AM684" s="29"/>
      <c r="AN684" s="29"/>
      <c r="AO684" s="29"/>
      <c r="AP684" s="29"/>
      <c r="AQ684" s="29"/>
      <c r="AR684" s="29"/>
    </row>
    <row r="685" spans="1:44">
      <c r="A685" s="1037"/>
      <c r="B685" s="738"/>
      <c r="C685" s="738"/>
      <c r="D685" s="738"/>
      <c r="E685" s="738"/>
      <c r="F685" s="738"/>
      <c r="G685" s="738"/>
      <c r="W685" s="29"/>
      <c r="X685" s="29"/>
      <c r="Y685" s="29"/>
      <c r="Z685" s="29"/>
      <c r="AA685" s="29"/>
      <c r="AB685" s="29"/>
      <c r="AC685" s="29"/>
      <c r="AD685" s="29"/>
      <c r="AE685" s="29"/>
      <c r="AF685" s="29"/>
      <c r="AG685" s="29"/>
      <c r="AH685" s="29"/>
      <c r="AI685" s="29"/>
      <c r="AJ685" s="29"/>
      <c r="AK685" s="29"/>
      <c r="AL685" s="29"/>
      <c r="AM685" s="29"/>
      <c r="AN685" s="29"/>
      <c r="AO685" s="29"/>
      <c r="AP685" s="29"/>
      <c r="AQ685" s="29"/>
      <c r="AR685" s="29"/>
    </row>
    <row r="686" spans="1:44">
      <c r="A686" s="1037"/>
      <c r="B686" s="738"/>
      <c r="C686" s="738"/>
      <c r="D686" s="738"/>
      <c r="E686" s="738"/>
      <c r="F686" s="738"/>
      <c r="G686" s="738"/>
      <c r="W686" s="29"/>
      <c r="X686" s="29"/>
      <c r="Y686" s="29"/>
      <c r="Z686" s="29"/>
      <c r="AA686" s="29"/>
      <c r="AB686" s="29"/>
      <c r="AC686" s="29"/>
      <c r="AD686" s="29"/>
      <c r="AE686" s="29"/>
      <c r="AF686" s="29"/>
      <c r="AG686" s="29"/>
      <c r="AH686" s="29"/>
      <c r="AI686" s="29"/>
      <c r="AJ686" s="29"/>
      <c r="AK686" s="29"/>
      <c r="AL686" s="29"/>
      <c r="AM686" s="29"/>
      <c r="AN686" s="29"/>
      <c r="AO686" s="29"/>
      <c r="AP686" s="29"/>
      <c r="AQ686" s="29"/>
      <c r="AR686" s="29"/>
    </row>
    <row r="687" spans="1:44">
      <c r="A687" s="1037"/>
      <c r="B687" s="738"/>
      <c r="C687" s="738"/>
      <c r="D687" s="738"/>
      <c r="E687" s="738"/>
      <c r="F687" s="738"/>
      <c r="G687" s="738"/>
      <c r="W687" s="29"/>
      <c r="X687" s="29"/>
      <c r="Y687" s="29"/>
      <c r="Z687" s="29"/>
      <c r="AA687" s="29"/>
      <c r="AB687" s="29"/>
      <c r="AC687" s="29"/>
      <c r="AD687" s="29"/>
      <c r="AE687" s="29"/>
      <c r="AF687" s="29"/>
      <c r="AG687" s="29"/>
      <c r="AH687" s="29"/>
      <c r="AI687" s="29"/>
      <c r="AJ687" s="29"/>
      <c r="AK687" s="29"/>
      <c r="AL687" s="29"/>
      <c r="AM687" s="29"/>
      <c r="AN687" s="29"/>
      <c r="AO687" s="29"/>
      <c r="AP687" s="29"/>
      <c r="AQ687" s="29"/>
      <c r="AR687" s="29"/>
    </row>
    <row r="688" spans="1:44">
      <c r="A688" s="1037"/>
      <c r="B688" s="738"/>
      <c r="C688" s="738"/>
      <c r="D688" s="738"/>
      <c r="E688" s="738"/>
      <c r="F688" s="738"/>
      <c r="G688" s="738"/>
      <c r="W688" s="29"/>
      <c r="X688" s="29"/>
      <c r="Y688" s="29"/>
      <c r="Z688" s="29"/>
      <c r="AA688" s="29"/>
      <c r="AB688" s="29"/>
      <c r="AC688" s="29"/>
      <c r="AD688" s="29"/>
      <c r="AE688" s="29"/>
      <c r="AF688" s="29"/>
      <c r="AG688" s="29"/>
      <c r="AH688" s="29"/>
      <c r="AI688" s="29"/>
      <c r="AJ688" s="29"/>
      <c r="AK688" s="29"/>
      <c r="AL688" s="29"/>
      <c r="AM688" s="29"/>
      <c r="AN688" s="29"/>
      <c r="AO688" s="29"/>
      <c r="AP688" s="29"/>
      <c r="AQ688" s="29"/>
      <c r="AR688" s="29"/>
    </row>
    <row r="689" spans="1:44">
      <c r="A689" s="1037"/>
      <c r="B689" s="738"/>
      <c r="C689" s="738"/>
      <c r="D689" s="738"/>
      <c r="E689" s="738"/>
      <c r="F689" s="738"/>
      <c r="G689" s="738"/>
      <c r="W689" s="29"/>
      <c r="X689" s="29"/>
      <c r="Y689" s="29"/>
      <c r="Z689" s="29"/>
      <c r="AA689" s="29"/>
      <c r="AB689" s="29"/>
      <c r="AC689" s="29"/>
      <c r="AD689" s="29"/>
      <c r="AE689" s="29"/>
      <c r="AF689" s="29"/>
      <c r="AG689" s="29"/>
      <c r="AH689" s="29"/>
      <c r="AI689" s="29"/>
      <c r="AJ689" s="29"/>
      <c r="AK689" s="29"/>
      <c r="AL689" s="29"/>
      <c r="AM689" s="29"/>
      <c r="AN689" s="29"/>
      <c r="AO689" s="29"/>
      <c r="AP689" s="29"/>
      <c r="AQ689" s="29"/>
      <c r="AR689" s="29"/>
    </row>
    <row r="690" spans="1:44">
      <c r="A690" s="1037"/>
      <c r="B690" s="738"/>
      <c r="C690" s="738"/>
      <c r="D690" s="738"/>
      <c r="E690" s="738"/>
      <c r="F690" s="738"/>
      <c r="G690" s="738"/>
      <c r="W690" s="29"/>
      <c r="X690" s="29"/>
      <c r="Y690" s="29"/>
      <c r="Z690" s="29"/>
      <c r="AA690" s="29"/>
      <c r="AB690" s="29"/>
      <c r="AC690" s="29"/>
      <c r="AD690" s="29"/>
      <c r="AE690" s="29"/>
      <c r="AF690" s="29"/>
      <c r="AG690" s="29"/>
      <c r="AH690" s="29"/>
      <c r="AI690" s="29"/>
      <c r="AJ690" s="29"/>
      <c r="AK690" s="29"/>
      <c r="AL690" s="29"/>
      <c r="AM690" s="29"/>
      <c r="AN690" s="29"/>
      <c r="AO690" s="29"/>
      <c r="AP690" s="29"/>
      <c r="AQ690" s="29"/>
      <c r="AR690" s="29"/>
    </row>
    <row r="691" spans="1:44">
      <c r="A691" s="1037"/>
      <c r="B691" s="738"/>
      <c r="C691" s="738"/>
      <c r="D691" s="738"/>
      <c r="E691" s="738"/>
      <c r="F691" s="738"/>
      <c r="G691" s="738"/>
      <c r="W691" s="29"/>
      <c r="X691" s="29"/>
      <c r="Y691" s="29"/>
      <c r="Z691" s="29"/>
      <c r="AA691" s="29"/>
      <c r="AB691" s="29"/>
      <c r="AC691" s="29"/>
      <c r="AD691" s="29"/>
      <c r="AE691" s="29"/>
      <c r="AF691" s="29"/>
      <c r="AG691" s="29"/>
      <c r="AH691" s="29"/>
      <c r="AI691" s="29"/>
      <c r="AJ691" s="29"/>
      <c r="AK691" s="29"/>
      <c r="AL691" s="29"/>
      <c r="AM691" s="29"/>
      <c r="AN691" s="29"/>
      <c r="AO691" s="29"/>
      <c r="AP691" s="29"/>
      <c r="AQ691" s="29"/>
      <c r="AR691" s="29"/>
    </row>
    <row r="692" spans="1:44">
      <c r="A692" s="1037"/>
      <c r="B692" s="738"/>
      <c r="C692" s="738"/>
      <c r="D692" s="738"/>
      <c r="E692" s="738"/>
      <c r="F692" s="738"/>
      <c r="G692" s="738"/>
      <c r="W692" s="29"/>
      <c r="X692" s="29"/>
      <c r="Y692" s="29"/>
      <c r="Z692" s="29"/>
      <c r="AA692" s="29"/>
      <c r="AB692" s="29"/>
      <c r="AC692" s="29"/>
      <c r="AD692" s="29"/>
      <c r="AE692" s="29"/>
      <c r="AF692" s="29"/>
      <c r="AG692" s="29"/>
      <c r="AH692" s="29"/>
      <c r="AI692" s="29"/>
      <c r="AJ692" s="29"/>
      <c r="AK692" s="29"/>
      <c r="AL692" s="29"/>
      <c r="AM692" s="29"/>
      <c r="AN692" s="29"/>
      <c r="AO692" s="29"/>
      <c r="AP692" s="29"/>
      <c r="AQ692" s="29"/>
      <c r="AR692" s="29"/>
    </row>
    <row r="693" spans="1:44">
      <c r="A693" s="1037"/>
      <c r="B693" s="738"/>
      <c r="C693" s="738"/>
      <c r="D693" s="738"/>
      <c r="E693" s="738"/>
      <c r="F693" s="738"/>
      <c r="G693" s="738"/>
      <c r="W693" s="29"/>
      <c r="X693" s="29"/>
      <c r="Y693" s="29"/>
      <c r="Z693" s="29"/>
      <c r="AA693" s="29"/>
      <c r="AB693" s="29"/>
      <c r="AC693" s="29"/>
      <c r="AD693" s="29"/>
      <c r="AE693" s="29"/>
      <c r="AF693" s="29"/>
      <c r="AG693" s="29"/>
      <c r="AH693" s="29"/>
      <c r="AI693" s="29"/>
      <c r="AJ693" s="29"/>
      <c r="AK693" s="29"/>
      <c r="AL693" s="29"/>
      <c r="AM693" s="29"/>
      <c r="AN693" s="29"/>
      <c r="AO693" s="29"/>
      <c r="AP693" s="29"/>
      <c r="AQ693" s="29"/>
      <c r="AR693" s="29"/>
    </row>
    <row r="694" spans="1:44">
      <c r="A694" s="1037"/>
      <c r="B694" s="738"/>
      <c r="C694" s="738"/>
      <c r="D694" s="738"/>
      <c r="E694" s="738"/>
      <c r="F694" s="738"/>
      <c r="G694" s="738"/>
      <c r="W694" s="29"/>
      <c r="X694" s="29"/>
      <c r="Y694" s="29"/>
      <c r="Z694" s="29"/>
      <c r="AA694" s="29"/>
      <c r="AB694" s="29"/>
      <c r="AC694" s="29"/>
      <c r="AD694" s="29"/>
      <c r="AE694" s="29"/>
      <c r="AF694" s="29"/>
      <c r="AG694" s="29"/>
      <c r="AH694" s="29"/>
      <c r="AI694" s="29"/>
      <c r="AJ694" s="29"/>
      <c r="AK694" s="29"/>
      <c r="AL694" s="29"/>
      <c r="AM694" s="29"/>
      <c r="AN694" s="29"/>
      <c r="AO694" s="29"/>
      <c r="AP694" s="29"/>
      <c r="AQ694" s="29"/>
      <c r="AR694" s="29"/>
    </row>
    <row r="695" spans="1:44">
      <c r="A695" s="1037"/>
      <c r="B695" s="738"/>
      <c r="C695" s="738"/>
      <c r="D695" s="738"/>
      <c r="E695" s="738"/>
      <c r="F695" s="738"/>
      <c r="G695" s="738"/>
      <c r="W695" s="29"/>
      <c r="X695" s="29"/>
      <c r="Y695" s="29"/>
      <c r="Z695" s="29"/>
      <c r="AA695" s="29"/>
      <c r="AB695" s="29"/>
      <c r="AC695" s="29"/>
      <c r="AD695" s="29"/>
      <c r="AE695" s="29"/>
      <c r="AF695" s="29"/>
      <c r="AG695" s="29"/>
      <c r="AH695" s="29"/>
      <c r="AI695" s="29"/>
      <c r="AJ695" s="29"/>
      <c r="AK695" s="29"/>
      <c r="AL695" s="29"/>
      <c r="AM695" s="29"/>
      <c r="AN695" s="29"/>
      <c r="AO695" s="29"/>
      <c r="AP695" s="29"/>
      <c r="AQ695" s="29"/>
      <c r="AR695" s="29"/>
    </row>
    <row r="696" spans="1:44">
      <c r="A696" s="1037"/>
      <c r="B696" s="738"/>
      <c r="C696" s="738"/>
      <c r="D696" s="738"/>
      <c r="E696" s="738"/>
      <c r="F696" s="738"/>
      <c r="G696" s="738"/>
      <c r="W696" s="29"/>
      <c r="X696" s="29"/>
      <c r="Y696" s="29"/>
      <c r="Z696" s="29"/>
      <c r="AA696" s="29"/>
      <c r="AB696" s="29"/>
      <c r="AC696" s="29"/>
      <c r="AD696" s="29"/>
      <c r="AE696" s="29"/>
      <c r="AF696" s="29"/>
      <c r="AG696" s="29"/>
      <c r="AH696" s="29"/>
      <c r="AI696" s="29"/>
      <c r="AJ696" s="29"/>
      <c r="AK696" s="29"/>
      <c r="AL696" s="29"/>
      <c r="AM696" s="29"/>
      <c r="AN696" s="29"/>
      <c r="AO696" s="29"/>
      <c r="AP696" s="29"/>
      <c r="AQ696" s="29"/>
      <c r="AR696" s="29"/>
    </row>
    <row r="697" spans="1:44">
      <c r="A697" s="1037"/>
      <c r="B697" s="738"/>
      <c r="C697" s="738"/>
      <c r="D697" s="738"/>
      <c r="E697" s="738"/>
      <c r="F697" s="738"/>
      <c r="G697" s="738"/>
      <c r="W697" s="29"/>
      <c r="X697" s="29"/>
      <c r="Y697" s="29"/>
      <c r="Z697" s="29"/>
      <c r="AA697" s="29"/>
      <c r="AB697" s="29"/>
      <c r="AC697" s="29"/>
      <c r="AD697" s="29"/>
      <c r="AE697" s="29"/>
      <c r="AF697" s="29"/>
      <c r="AG697" s="29"/>
      <c r="AH697" s="29"/>
      <c r="AI697" s="29"/>
      <c r="AJ697" s="29"/>
      <c r="AK697" s="29"/>
      <c r="AL697" s="29"/>
      <c r="AM697" s="29"/>
      <c r="AN697" s="29"/>
      <c r="AO697" s="29"/>
      <c r="AP697" s="29"/>
      <c r="AQ697" s="29"/>
      <c r="AR697" s="29"/>
    </row>
    <row r="698" spans="1:44">
      <c r="A698" s="1037"/>
      <c r="B698" s="738"/>
      <c r="C698" s="738"/>
      <c r="D698" s="738"/>
      <c r="E698" s="738"/>
      <c r="F698" s="738"/>
      <c r="G698" s="738"/>
      <c r="W698" s="29"/>
      <c r="X698" s="29"/>
      <c r="Y698" s="29"/>
      <c r="Z698" s="29"/>
      <c r="AA698" s="29"/>
      <c r="AB698" s="29"/>
      <c r="AC698" s="29"/>
      <c r="AD698" s="29"/>
      <c r="AE698" s="29"/>
      <c r="AF698" s="29"/>
      <c r="AG698" s="29"/>
      <c r="AH698" s="29"/>
      <c r="AI698" s="29"/>
      <c r="AJ698" s="29"/>
      <c r="AK698" s="29"/>
      <c r="AL698" s="29"/>
      <c r="AM698" s="29"/>
      <c r="AN698" s="29"/>
      <c r="AO698" s="29"/>
      <c r="AP698" s="29"/>
      <c r="AQ698" s="29"/>
      <c r="AR698" s="29"/>
    </row>
    <row r="699" spans="1:44">
      <c r="A699" s="1037"/>
      <c r="B699" s="738"/>
      <c r="C699" s="738"/>
      <c r="D699" s="738"/>
      <c r="E699" s="738"/>
      <c r="F699" s="738"/>
      <c r="G699" s="738"/>
      <c r="W699" s="29"/>
      <c r="X699" s="29"/>
      <c r="Y699" s="29"/>
      <c r="Z699" s="29"/>
      <c r="AA699" s="29"/>
      <c r="AB699" s="29"/>
      <c r="AC699" s="29"/>
      <c r="AD699" s="29"/>
      <c r="AE699" s="29"/>
      <c r="AF699" s="29"/>
      <c r="AG699" s="29"/>
      <c r="AH699" s="29"/>
      <c r="AI699" s="29"/>
      <c r="AJ699" s="29"/>
      <c r="AK699" s="29"/>
      <c r="AL699" s="29"/>
      <c r="AM699" s="29"/>
      <c r="AN699" s="29"/>
      <c r="AO699" s="29"/>
      <c r="AP699" s="29"/>
      <c r="AQ699" s="29"/>
      <c r="AR699" s="29"/>
    </row>
    <row r="700" spans="1:44">
      <c r="A700" s="1037"/>
      <c r="B700" s="738"/>
      <c r="C700" s="738"/>
      <c r="D700" s="738"/>
      <c r="E700" s="738"/>
      <c r="F700" s="738"/>
      <c r="G700" s="738"/>
      <c r="W700" s="29"/>
      <c r="X700" s="29"/>
      <c r="Y700" s="29"/>
      <c r="Z700" s="29"/>
      <c r="AA700" s="29"/>
      <c r="AB700" s="29"/>
      <c r="AC700" s="29"/>
      <c r="AD700" s="29"/>
      <c r="AE700" s="29"/>
      <c r="AF700" s="29"/>
      <c r="AG700" s="29"/>
      <c r="AH700" s="29"/>
      <c r="AI700" s="29"/>
      <c r="AJ700" s="29"/>
      <c r="AK700" s="29"/>
      <c r="AL700" s="29"/>
      <c r="AM700" s="29"/>
      <c r="AN700" s="29"/>
      <c r="AO700" s="29"/>
      <c r="AP700" s="29"/>
      <c r="AQ700" s="29"/>
      <c r="AR700" s="29"/>
    </row>
    <row r="701" spans="1:44">
      <c r="A701" s="1037"/>
      <c r="B701" s="738"/>
      <c r="C701" s="738"/>
      <c r="D701" s="738"/>
      <c r="E701" s="738"/>
      <c r="F701" s="738"/>
      <c r="G701" s="738"/>
      <c r="W701" s="29"/>
      <c r="X701" s="29"/>
      <c r="Y701" s="29"/>
      <c r="Z701" s="29"/>
      <c r="AA701" s="29"/>
      <c r="AB701" s="29"/>
      <c r="AC701" s="29"/>
      <c r="AD701" s="29"/>
      <c r="AE701" s="29"/>
      <c r="AF701" s="29"/>
      <c r="AG701" s="29"/>
      <c r="AH701" s="29"/>
      <c r="AI701" s="29"/>
      <c r="AJ701" s="29"/>
      <c r="AK701" s="29"/>
      <c r="AL701" s="29"/>
      <c r="AM701" s="29"/>
      <c r="AN701" s="29"/>
      <c r="AO701" s="29"/>
      <c r="AP701" s="29"/>
      <c r="AQ701" s="29"/>
      <c r="AR701" s="29"/>
    </row>
    <row r="702" spans="1:44">
      <c r="A702" s="1037"/>
      <c r="B702" s="738"/>
      <c r="C702" s="738"/>
      <c r="D702" s="738"/>
      <c r="E702" s="738"/>
      <c r="F702" s="738"/>
      <c r="G702" s="738"/>
      <c r="W702" s="29"/>
      <c r="X702" s="29"/>
      <c r="Y702" s="29"/>
      <c r="Z702" s="29"/>
      <c r="AA702" s="29"/>
      <c r="AB702" s="29"/>
      <c r="AC702" s="29"/>
      <c r="AD702" s="29"/>
      <c r="AE702" s="29"/>
      <c r="AF702" s="29"/>
      <c r="AG702" s="29"/>
      <c r="AH702" s="29"/>
      <c r="AI702" s="29"/>
      <c r="AJ702" s="29"/>
      <c r="AK702" s="29"/>
      <c r="AL702" s="29"/>
      <c r="AM702" s="29"/>
      <c r="AN702" s="29"/>
      <c r="AO702" s="29"/>
      <c r="AP702" s="29"/>
      <c r="AQ702" s="29"/>
      <c r="AR702" s="29"/>
    </row>
    <row r="703" spans="1:44">
      <c r="A703" s="1037"/>
      <c r="B703" s="738"/>
      <c r="C703" s="738"/>
      <c r="D703" s="738"/>
      <c r="E703" s="738"/>
      <c r="F703" s="738"/>
      <c r="G703" s="738"/>
      <c r="W703" s="29"/>
      <c r="X703" s="29"/>
      <c r="Y703" s="29"/>
      <c r="Z703" s="29"/>
      <c r="AA703" s="29"/>
      <c r="AB703" s="29"/>
      <c r="AC703" s="29"/>
      <c r="AD703" s="29"/>
      <c r="AE703" s="29"/>
      <c r="AF703" s="29"/>
      <c r="AG703" s="29"/>
      <c r="AH703" s="29"/>
      <c r="AI703" s="29"/>
      <c r="AJ703" s="29"/>
      <c r="AK703" s="29"/>
      <c r="AL703" s="29"/>
      <c r="AM703" s="29"/>
      <c r="AN703" s="29"/>
      <c r="AO703" s="29"/>
      <c r="AP703" s="29"/>
      <c r="AQ703" s="29"/>
      <c r="AR703" s="29"/>
    </row>
    <row r="704" spans="1:44">
      <c r="A704" s="1037"/>
      <c r="B704" s="738"/>
      <c r="C704" s="738"/>
      <c r="D704" s="738"/>
      <c r="E704" s="738"/>
      <c r="F704" s="738"/>
      <c r="G704" s="738"/>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row>
    <row r="705" spans="1:44">
      <c r="A705" s="1037"/>
      <c r="B705" s="738"/>
      <c r="C705" s="738"/>
      <c r="D705" s="738"/>
      <c r="E705" s="738"/>
      <c r="F705" s="738"/>
      <c r="G705" s="738"/>
      <c r="W705" s="29"/>
      <c r="X705" s="29"/>
      <c r="Y705" s="29"/>
      <c r="Z705" s="29"/>
      <c r="AA705" s="29"/>
      <c r="AB705" s="29"/>
      <c r="AC705" s="29"/>
      <c r="AD705" s="29"/>
      <c r="AE705" s="29"/>
      <c r="AF705" s="29"/>
      <c r="AG705" s="29"/>
      <c r="AH705" s="29"/>
      <c r="AI705" s="29"/>
      <c r="AJ705" s="29"/>
      <c r="AK705" s="29"/>
      <c r="AL705" s="29"/>
      <c r="AM705" s="29"/>
      <c r="AN705" s="29"/>
      <c r="AO705" s="29"/>
      <c r="AP705" s="29"/>
      <c r="AQ705" s="29"/>
      <c r="AR705" s="29"/>
    </row>
    <row r="706" spans="1:44">
      <c r="A706" s="1037"/>
      <c r="B706" s="738"/>
      <c r="C706" s="738"/>
      <c r="D706" s="738"/>
      <c r="E706" s="738"/>
      <c r="F706" s="738"/>
      <c r="G706" s="738"/>
      <c r="W706" s="29"/>
      <c r="X706" s="29"/>
      <c r="Y706" s="29"/>
      <c r="Z706" s="29"/>
      <c r="AA706" s="29"/>
      <c r="AB706" s="29"/>
      <c r="AC706" s="29"/>
      <c r="AD706" s="29"/>
      <c r="AE706" s="29"/>
      <c r="AF706" s="29"/>
      <c r="AG706" s="29"/>
      <c r="AH706" s="29"/>
      <c r="AI706" s="29"/>
      <c r="AJ706" s="29"/>
      <c r="AK706" s="29"/>
      <c r="AL706" s="29"/>
      <c r="AM706" s="29"/>
      <c r="AN706" s="29"/>
      <c r="AO706" s="29"/>
      <c r="AP706" s="29"/>
      <c r="AQ706" s="29"/>
      <c r="AR706" s="29"/>
    </row>
    <row r="707" spans="1:44">
      <c r="A707" s="1037"/>
      <c r="B707" s="738"/>
      <c r="C707" s="738"/>
      <c r="D707" s="738"/>
      <c r="E707" s="738"/>
      <c r="F707" s="738"/>
      <c r="G707" s="738"/>
      <c r="W707" s="29"/>
      <c r="X707" s="29"/>
      <c r="Y707" s="29"/>
      <c r="Z707" s="29"/>
      <c r="AA707" s="29"/>
      <c r="AB707" s="29"/>
      <c r="AC707" s="29"/>
      <c r="AD707" s="29"/>
      <c r="AE707" s="29"/>
      <c r="AF707" s="29"/>
      <c r="AG707" s="29"/>
      <c r="AH707" s="29"/>
      <c r="AI707" s="29"/>
      <c r="AJ707" s="29"/>
      <c r="AK707" s="29"/>
      <c r="AL707" s="29"/>
      <c r="AM707" s="29"/>
      <c r="AN707" s="29"/>
      <c r="AO707" s="29"/>
      <c r="AP707" s="29"/>
      <c r="AQ707" s="29"/>
      <c r="AR707" s="29"/>
    </row>
    <row r="708" spans="1:44">
      <c r="A708" s="1037"/>
      <c r="B708" s="738"/>
      <c r="C708" s="738"/>
      <c r="D708" s="738"/>
      <c r="E708" s="738"/>
      <c r="F708" s="738"/>
      <c r="G708" s="738"/>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row>
    <row r="709" spans="1:44">
      <c r="A709" s="1037"/>
      <c r="B709" s="738"/>
      <c r="C709" s="738"/>
      <c r="D709" s="738"/>
      <c r="E709" s="738"/>
      <c r="F709" s="738"/>
      <c r="G709" s="738"/>
      <c r="W709" s="29"/>
      <c r="X709" s="29"/>
      <c r="Y709" s="29"/>
      <c r="Z709" s="29"/>
      <c r="AA709" s="29"/>
      <c r="AB709" s="29"/>
      <c r="AC709" s="29"/>
      <c r="AD709" s="29"/>
      <c r="AE709" s="29"/>
      <c r="AF709" s="29"/>
      <c r="AG709" s="29"/>
      <c r="AH709" s="29"/>
      <c r="AI709" s="29"/>
      <c r="AJ709" s="29"/>
      <c r="AK709" s="29"/>
      <c r="AL709" s="29"/>
      <c r="AM709" s="29"/>
      <c r="AN709" s="29"/>
      <c r="AO709" s="29"/>
      <c r="AP709" s="29"/>
      <c r="AQ709" s="29"/>
      <c r="AR709" s="29"/>
    </row>
    <row r="710" spans="1:44">
      <c r="A710" s="1037"/>
      <c r="B710" s="738"/>
      <c r="C710" s="738"/>
      <c r="D710" s="738"/>
      <c r="E710" s="738"/>
      <c r="F710" s="738"/>
      <c r="G710" s="738"/>
      <c r="W710" s="29"/>
      <c r="X710" s="29"/>
      <c r="Y710" s="29"/>
      <c r="Z710" s="29"/>
      <c r="AA710" s="29"/>
      <c r="AB710" s="29"/>
      <c r="AC710" s="29"/>
      <c r="AD710" s="29"/>
      <c r="AE710" s="29"/>
      <c r="AF710" s="29"/>
      <c r="AG710" s="29"/>
      <c r="AH710" s="29"/>
      <c r="AI710" s="29"/>
      <c r="AJ710" s="29"/>
      <c r="AK710" s="29"/>
      <c r="AL710" s="29"/>
      <c r="AM710" s="29"/>
      <c r="AN710" s="29"/>
      <c r="AO710" s="29"/>
      <c r="AP710" s="29"/>
      <c r="AQ710" s="29"/>
      <c r="AR710" s="29"/>
    </row>
    <row r="711" spans="1:44">
      <c r="A711" s="1037"/>
      <c r="B711" s="738"/>
      <c r="C711" s="738"/>
      <c r="D711" s="738"/>
      <c r="E711" s="738"/>
      <c r="F711" s="738"/>
      <c r="G711" s="738"/>
      <c r="W711" s="29"/>
      <c r="X711" s="29"/>
      <c r="Y711" s="29"/>
      <c r="Z711" s="29"/>
      <c r="AA711" s="29"/>
      <c r="AB711" s="29"/>
      <c r="AC711" s="29"/>
      <c r="AD711" s="29"/>
      <c r="AE711" s="29"/>
      <c r="AF711" s="29"/>
      <c r="AG711" s="29"/>
      <c r="AH711" s="29"/>
      <c r="AI711" s="29"/>
      <c r="AJ711" s="29"/>
      <c r="AK711" s="29"/>
      <c r="AL711" s="29"/>
      <c r="AM711" s="29"/>
      <c r="AN711" s="29"/>
      <c r="AO711" s="29"/>
      <c r="AP711" s="29"/>
      <c r="AQ711" s="29"/>
      <c r="AR711" s="29"/>
    </row>
    <row r="712" spans="1:44">
      <c r="A712" s="1037"/>
      <c r="B712" s="738"/>
      <c r="C712" s="738"/>
      <c r="D712" s="738"/>
      <c r="E712" s="738"/>
      <c r="F712" s="738"/>
      <c r="G712" s="738"/>
      <c r="W712" s="29"/>
      <c r="X712" s="29"/>
      <c r="Y712" s="29"/>
      <c r="Z712" s="29"/>
      <c r="AA712" s="29"/>
      <c r="AB712" s="29"/>
      <c r="AC712" s="29"/>
      <c r="AD712" s="29"/>
      <c r="AE712" s="29"/>
      <c r="AF712" s="29"/>
      <c r="AG712" s="29"/>
      <c r="AH712" s="29"/>
      <c r="AI712" s="29"/>
      <c r="AJ712" s="29"/>
      <c r="AK712" s="29"/>
      <c r="AL712" s="29"/>
      <c r="AM712" s="29"/>
      <c r="AN712" s="29"/>
      <c r="AO712" s="29"/>
      <c r="AP712" s="29"/>
      <c r="AQ712" s="29"/>
      <c r="AR712" s="29"/>
    </row>
    <row r="713" spans="1:44">
      <c r="A713" s="1037"/>
      <c r="B713" s="738"/>
      <c r="C713" s="738"/>
      <c r="D713" s="738"/>
      <c r="E713" s="738"/>
      <c r="F713" s="738"/>
      <c r="G713" s="738"/>
      <c r="W713" s="29"/>
      <c r="X713" s="29"/>
      <c r="Y713" s="29"/>
      <c r="Z713" s="29"/>
      <c r="AA713" s="29"/>
      <c r="AB713" s="29"/>
      <c r="AC713" s="29"/>
      <c r="AD713" s="29"/>
      <c r="AE713" s="29"/>
      <c r="AF713" s="29"/>
      <c r="AG713" s="29"/>
      <c r="AH713" s="29"/>
      <c r="AI713" s="29"/>
      <c r="AJ713" s="29"/>
      <c r="AK713" s="29"/>
      <c r="AL713" s="29"/>
      <c r="AM713" s="29"/>
      <c r="AN713" s="29"/>
      <c r="AO713" s="29"/>
      <c r="AP713" s="29"/>
      <c r="AQ713" s="29"/>
      <c r="AR713" s="29"/>
    </row>
    <row r="714" spans="1:44">
      <c r="A714" s="1037"/>
      <c r="B714" s="738"/>
      <c r="C714" s="738"/>
      <c r="D714" s="738"/>
      <c r="E714" s="738"/>
      <c r="F714" s="738"/>
      <c r="G714" s="738"/>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row>
    <row r="715" spans="1:44">
      <c r="A715" s="1037"/>
      <c r="B715" s="738"/>
      <c r="C715" s="738"/>
      <c r="D715" s="738"/>
      <c r="E715" s="738"/>
      <c r="F715" s="738"/>
      <c r="G715" s="738"/>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row>
    <row r="716" spans="1:44">
      <c r="A716" s="1037"/>
      <c r="B716" s="738"/>
      <c r="C716" s="738"/>
      <c r="D716" s="738"/>
      <c r="E716" s="738"/>
      <c r="F716" s="738"/>
      <c r="G716" s="738"/>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row>
    <row r="717" spans="1:44">
      <c r="A717" s="1037"/>
      <c r="B717" s="738"/>
      <c r="C717" s="738"/>
      <c r="D717" s="738"/>
      <c r="E717" s="738"/>
      <c r="F717" s="738"/>
      <c r="G717" s="738"/>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row>
    <row r="718" spans="1:44">
      <c r="A718" s="1037"/>
      <c r="B718" s="738"/>
      <c r="C718" s="738"/>
      <c r="D718" s="738"/>
      <c r="E718" s="738"/>
      <c r="F718" s="738"/>
      <c r="G718" s="738"/>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row>
    <row r="719" spans="1:44">
      <c r="A719" s="1037"/>
      <c r="B719" s="738"/>
      <c r="C719" s="738"/>
      <c r="D719" s="738"/>
      <c r="E719" s="738"/>
      <c r="F719" s="738"/>
      <c r="G719" s="738"/>
      <c r="W719" s="29"/>
      <c r="X719" s="29"/>
      <c r="Y719" s="29"/>
      <c r="Z719" s="29"/>
      <c r="AA719" s="29"/>
      <c r="AB719" s="29"/>
      <c r="AC719" s="29"/>
      <c r="AD719" s="29"/>
      <c r="AE719" s="29"/>
      <c r="AF719" s="29"/>
      <c r="AG719" s="29"/>
      <c r="AH719" s="29"/>
      <c r="AI719" s="29"/>
      <c r="AJ719" s="29"/>
      <c r="AK719" s="29"/>
      <c r="AL719" s="29"/>
      <c r="AM719" s="29"/>
      <c r="AN719" s="29"/>
      <c r="AO719" s="29"/>
      <c r="AP719" s="29"/>
      <c r="AQ719" s="29"/>
      <c r="AR719" s="29"/>
    </row>
    <row r="720" spans="1:44">
      <c r="A720" s="1037"/>
      <c r="B720" s="738"/>
      <c r="C720" s="738"/>
      <c r="D720" s="738"/>
      <c r="E720" s="738"/>
      <c r="F720" s="738"/>
      <c r="G720" s="738"/>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row>
    <row r="721" spans="1:44">
      <c r="A721" s="1037"/>
      <c r="B721" s="738"/>
      <c r="C721" s="738"/>
      <c r="D721" s="738"/>
      <c r="E721" s="738"/>
      <c r="F721" s="738"/>
      <c r="G721" s="738"/>
      <c r="W721" s="29"/>
      <c r="X721" s="29"/>
      <c r="Y721" s="29"/>
      <c r="Z721" s="29"/>
      <c r="AA721" s="29"/>
      <c r="AB721" s="29"/>
      <c r="AC721" s="29"/>
      <c r="AD721" s="29"/>
      <c r="AE721" s="29"/>
      <c r="AF721" s="29"/>
      <c r="AG721" s="29"/>
      <c r="AH721" s="29"/>
      <c r="AI721" s="29"/>
      <c r="AJ721" s="29"/>
      <c r="AK721" s="29"/>
      <c r="AL721" s="29"/>
      <c r="AM721" s="29"/>
      <c r="AN721" s="29"/>
      <c r="AO721" s="29"/>
      <c r="AP721" s="29"/>
      <c r="AQ721" s="29"/>
      <c r="AR721" s="29"/>
    </row>
    <row r="722" spans="1:44">
      <c r="A722" s="1037"/>
      <c r="B722" s="738"/>
      <c r="C722" s="738"/>
      <c r="D722" s="738"/>
      <c r="E722" s="738"/>
      <c r="F722" s="738"/>
      <c r="G722" s="738"/>
      <c r="W722" s="29"/>
      <c r="X722" s="29"/>
      <c r="Y722" s="29"/>
      <c r="Z722" s="29"/>
      <c r="AA722" s="29"/>
      <c r="AB722" s="29"/>
      <c r="AC722" s="29"/>
      <c r="AD722" s="29"/>
      <c r="AE722" s="29"/>
      <c r="AF722" s="29"/>
      <c r="AG722" s="29"/>
      <c r="AH722" s="29"/>
      <c r="AI722" s="29"/>
      <c r="AJ722" s="29"/>
      <c r="AK722" s="29"/>
      <c r="AL722" s="29"/>
      <c r="AM722" s="29"/>
      <c r="AN722" s="29"/>
      <c r="AO722" s="29"/>
      <c r="AP722" s="29"/>
      <c r="AQ722" s="29"/>
      <c r="AR722" s="29"/>
    </row>
    <row r="723" spans="1:44">
      <c r="A723" s="1037"/>
      <c r="B723" s="738"/>
      <c r="C723" s="738"/>
      <c r="D723" s="738"/>
      <c r="E723" s="738"/>
      <c r="F723" s="738"/>
      <c r="G723" s="738"/>
      <c r="W723" s="29"/>
      <c r="X723" s="29"/>
      <c r="Y723" s="29"/>
      <c r="Z723" s="29"/>
      <c r="AA723" s="29"/>
      <c r="AB723" s="29"/>
      <c r="AC723" s="29"/>
      <c r="AD723" s="29"/>
      <c r="AE723" s="29"/>
      <c r="AF723" s="29"/>
      <c r="AG723" s="29"/>
      <c r="AH723" s="29"/>
      <c r="AI723" s="29"/>
      <c r="AJ723" s="29"/>
      <c r="AK723" s="29"/>
      <c r="AL723" s="29"/>
      <c r="AM723" s="29"/>
      <c r="AN723" s="29"/>
      <c r="AO723" s="29"/>
      <c r="AP723" s="29"/>
      <c r="AQ723" s="29"/>
      <c r="AR723" s="29"/>
    </row>
    <row r="724" spans="1:44">
      <c r="A724" s="1037"/>
      <c r="B724" s="738"/>
      <c r="C724" s="738"/>
      <c r="D724" s="738"/>
      <c r="E724" s="738"/>
      <c r="F724" s="738"/>
      <c r="G724" s="738"/>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row>
    <row r="725" spans="1:44">
      <c r="A725" s="1037"/>
      <c r="B725" s="738"/>
      <c r="C725" s="738"/>
      <c r="D725" s="738"/>
      <c r="E725" s="738"/>
      <c r="F725" s="738"/>
      <c r="G725" s="738"/>
      <c r="W725" s="29"/>
      <c r="X725" s="29"/>
      <c r="Y725" s="29"/>
      <c r="Z725" s="29"/>
      <c r="AA725" s="29"/>
      <c r="AB725" s="29"/>
      <c r="AC725" s="29"/>
      <c r="AD725" s="29"/>
      <c r="AE725" s="29"/>
      <c r="AF725" s="29"/>
      <c r="AG725" s="29"/>
      <c r="AH725" s="29"/>
      <c r="AI725" s="29"/>
      <c r="AJ725" s="29"/>
      <c r="AK725" s="29"/>
      <c r="AL725" s="29"/>
      <c r="AM725" s="29"/>
      <c r="AN725" s="29"/>
      <c r="AO725" s="29"/>
      <c r="AP725" s="29"/>
      <c r="AQ725" s="29"/>
      <c r="AR725" s="29"/>
    </row>
    <row r="726" spans="1:44">
      <c r="A726" s="1037"/>
      <c r="B726" s="738"/>
      <c r="C726" s="738"/>
      <c r="D726" s="738"/>
      <c r="E726" s="738"/>
      <c r="F726" s="738"/>
      <c r="G726" s="738"/>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row>
    <row r="727" spans="1:44">
      <c r="A727" s="1037"/>
      <c r="B727" s="738"/>
      <c r="C727" s="738"/>
      <c r="D727" s="738"/>
      <c r="E727" s="738"/>
      <c r="F727" s="738"/>
      <c r="G727" s="738"/>
      <c r="W727" s="29"/>
      <c r="X727" s="29"/>
      <c r="Y727" s="29"/>
      <c r="Z727" s="29"/>
      <c r="AA727" s="29"/>
      <c r="AB727" s="29"/>
      <c r="AC727" s="29"/>
      <c r="AD727" s="29"/>
      <c r="AE727" s="29"/>
      <c r="AF727" s="29"/>
      <c r="AG727" s="29"/>
      <c r="AH727" s="29"/>
      <c r="AI727" s="29"/>
      <c r="AJ727" s="29"/>
      <c r="AK727" s="29"/>
      <c r="AL727" s="29"/>
      <c r="AM727" s="29"/>
      <c r="AN727" s="29"/>
      <c r="AO727" s="29"/>
      <c r="AP727" s="29"/>
      <c r="AQ727" s="29"/>
      <c r="AR727" s="29"/>
    </row>
    <row r="728" spans="1:44">
      <c r="A728" s="1037"/>
      <c r="B728" s="738"/>
      <c r="C728" s="738"/>
      <c r="D728" s="738"/>
      <c r="E728" s="738"/>
      <c r="F728" s="738"/>
      <c r="G728" s="738"/>
      <c r="W728" s="29"/>
      <c r="X728" s="29"/>
      <c r="Y728" s="29"/>
      <c r="Z728" s="29"/>
      <c r="AA728" s="29"/>
      <c r="AB728" s="29"/>
      <c r="AC728" s="29"/>
      <c r="AD728" s="29"/>
      <c r="AE728" s="29"/>
      <c r="AF728" s="29"/>
      <c r="AG728" s="29"/>
      <c r="AH728" s="29"/>
      <c r="AI728" s="29"/>
      <c r="AJ728" s="29"/>
      <c r="AK728" s="29"/>
      <c r="AL728" s="29"/>
      <c r="AM728" s="29"/>
      <c r="AN728" s="29"/>
      <c r="AO728" s="29"/>
      <c r="AP728" s="29"/>
      <c r="AQ728" s="29"/>
      <c r="AR728" s="29"/>
    </row>
    <row r="729" spans="1:44">
      <c r="A729" s="1037"/>
      <c r="B729" s="738"/>
      <c r="C729" s="738"/>
      <c r="D729" s="738"/>
      <c r="E729" s="738"/>
      <c r="F729" s="738"/>
      <c r="G729" s="738"/>
      <c r="W729" s="29"/>
      <c r="X729" s="29"/>
      <c r="Y729" s="29"/>
      <c r="Z729" s="29"/>
      <c r="AA729" s="29"/>
      <c r="AB729" s="29"/>
      <c r="AC729" s="29"/>
      <c r="AD729" s="29"/>
      <c r="AE729" s="29"/>
      <c r="AF729" s="29"/>
      <c r="AG729" s="29"/>
      <c r="AH729" s="29"/>
      <c r="AI729" s="29"/>
      <c r="AJ729" s="29"/>
      <c r="AK729" s="29"/>
      <c r="AL729" s="29"/>
      <c r="AM729" s="29"/>
      <c r="AN729" s="29"/>
      <c r="AO729" s="29"/>
      <c r="AP729" s="29"/>
      <c r="AQ729" s="29"/>
      <c r="AR729" s="29"/>
    </row>
    <row r="730" spans="1:44">
      <c r="A730" s="1037"/>
      <c r="B730" s="738"/>
      <c r="C730" s="738"/>
      <c r="D730" s="738"/>
      <c r="E730" s="738"/>
      <c r="F730" s="738"/>
      <c r="G730" s="738"/>
      <c r="W730" s="29"/>
      <c r="X730" s="29"/>
      <c r="Y730" s="29"/>
      <c r="Z730" s="29"/>
      <c r="AA730" s="29"/>
      <c r="AB730" s="29"/>
      <c r="AC730" s="29"/>
      <c r="AD730" s="29"/>
      <c r="AE730" s="29"/>
      <c r="AF730" s="29"/>
      <c r="AG730" s="29"/>
      <c r="AH730" s="29"/>
      <c r="AI730" s="29"/>
      <c r="AJ730" s="29"/>
      <c r="AK730" s="29"/>
      <c r="AL730" s="29"/>
      <c r="AM730" s="29"/>
      <c r="AN730" s="29"/>
      <c r="AO730" s="29"/>
      <c r="AP730" s="29"/>
      <c r="AQ730" s="29"/>
      <c r="AR730" s="29"/>
    </row>
    <row r="731" spans="1:44">
      <c r="A731" s="1037"/>
      <c r="B731" s="738"/>
      <c r="C731" s="738"/>
      <c r="D731" s="738"/>
      <c r="E731" s="738"/>
      <c r="F731" s="738"/>
      <c r="G731" s="738"/>
      <c r="W731" s="29"/>
      <c r="X731" s="29"/>
      <c r="Y731" s="29"/>
      <c r="Z731" s="29"/>
      <c r="AA731" s="29"/>
      <c r="AB731" s="29"/>
      <c r="AC731" s="29"/>
      <c r="AD731" s="29"/>
      <c r="AE731" s="29"/>
      <c r="AF731" s="29"/>
      <c r="AG731" s="29"/>
      <c r="AH731" s="29"/>
      <c r="AI731" s="29"/>
      <c r="AJ731" s="29"/>
      <c r="AK731" s="29"/>
      <c r="AL731" s="29"/>
      <c r="AM731" s="29"/>
      <c r="AN731" s="29"/>
      <c r="AO731" s="29"/>
      <c r="AP731" s="29"/>
      <c r="AQ731" s="29"/>
      <c r="AR731" s="29"/>
    </row>
    <row r="732" spans="1:44">
      <c r="A732" s="1037"/>
      <c r="B732" s="738"/>
      <c r="C732" s="738"/>
      <c r="D732" s="738"/>
      <c r="E732" s="738"/>
      <c r="F732" s="738"/>
      <c r="G732" s="738"/>
      <c r="W732" s="29"/>
      <c r="X732" s="29"/>
      <c r="Y732" s="29"/>
      <c r="Z732" s="29"/>
      <c r="AA732" s="29"/>
      <c r="AB732" s="29"/>
      <c r="AC732" s="29"/>
      <c r="AD732" s="29"/>
      <c r="AE732" s="29"/>
      <c r="AF732" s="29"/>
      <c r="AG732" s="29"/>
      <c r="AH732" s="29"/>
      <c r="AI732" s="29"/>
      <c r="AJ732" s="29"/>
      <c r="AK732" s="29"/>
      <c r="AL732" s="29"/>
      <c r="AM732" s="29"/>
      <c r="AN732" s="29"/>
      <c r="AO732" s="29"/>
      <c r="AP732" s="29"/>
      <c r="AQ732" s="29"/>
      <c r="AR732" s="29"/>
    </row>
    <row r="733" spans="1:44">
      <c r="A733" s="1037"/>
      <c r="B733" s="738"/>
      <c r="C733" s="738"/>
      <c r="D733" s="738"/>
      <c r="E733" s="738"/>
      <c r="F733" s="738"/>
      <c r="G733" s="738"/>
      <c r="W733" s="29"/>
      <c r="X733" s="29"/>
      <c r="Y733" s="29"/>
      <c r="Z733" s="29"/>
      <c r="AA733" s="29"/>
      <c r="AB733" s="29"/>
      <c r="AC733" s="29"/>
      <c r="AD733" s="29"/>
      <c r="AE733" s="29"/>
      <c r="AF733" s="29"/>
      <c r="AG733" s="29"/>
      <c r="AH733" s="29"/>
      <c r="AI733" s="29"/>
      <c r="AJ733" s="29"/>
      <c r="AK733" s="29"/>
      <c r="AL733" s="29"/>
      <c r="AM733" s="29"/>
      <c r="AN733" s="29"/>
      <c r="AO733" s="29"/>
      <c r="AP733" s="29"/>
      <c r="AQ733" s="29"/>
      <c r="AR733" s="29"/>
    </row>
    <row r="734" spans="1:44">
      <c r="A734" s="1037"/>
      <c r="B734" s="738"/>
      <c r="C734" s="738"/>
      <c r="D734" s="738"/>
      <c r="E734" s="738"/>
      <c r="F734" s="738"/>
      <c r="G734" s="738"/>
      <c r="W734" s="29"/>
      <c r="X734" s="29"/>
      <c r="Y734" s="29"/>
      <c r="Z734" s="29"/>
      <c r="AA734" s="29"/>
      <c r="AB734" s="29"/>
      <c r="AC734" s="29"/>
      <c r="AD734" s="29"/>
      <c r="AE734" s="29"/>
      <c r="AF734" s="29"/>
      <c r="AG734" s="29"/>
      <c r="AH734" s="29"/>
      <c r="AI734" s="29"/>
      <c r="AJ734" s="29"/>
      <c r="AK734" s="29"/>
      <c r="AL734" s="29"/>
      <c r="AM734" s="29"/>
      <c r="AN734" s="29"/>
      <c r="AO734" s="29"/>
      <c r="AP734" s="29"/>
      <c r="AQ734" s="29"/>
      <c r="AR734" s="29"/>
    </row>
    <row r="735" spans="1:44">
      <c r="A735" s="1037"/>
      <c r="B735" s="738"/>
      <c r="C735" s="738"/>
      <c r="D735" s="738"/>
      <c r="E735" s="738"/>
      <c r="F735" s="738"/>
      <c r="G735" s="738"/>
      <c r="W735" s="29"/>
      <c r="X735" s="29"/>
      <c r="Y735" s="29"/>
      <c r="Z735" s="29"/>
      <c r="AA735" s="29"/>
      <c r="AB735" s="29"/>
      <c r="AC735" s="29"/>
      <c r="AD735" s="29"/>
      <c r="AE735" s="29"/>
      <c r="AF735" s="29"/>
      <c r="AG735" s="29"/>
      <c r="AH735" s="29"/>
      <c r="AI735" s="29"/>
      <c r="AJ735" s="29"/>
      <c r="AK735" s="29"/>
      <c r="AL735" s="29"/>
      <c r="AM735" s="29"/>
      <c r="AN735" s="29"/>
      <c r="AO735" s="29"/>
      <c r="AP735" s="29"/>
      <c r="AQ735" s="29"/>
      <c r="AR735" s="29"/>
    </row>
    <row r="736" spans="1:44">
      <c r="A736" s="1037"/>
      <c r="B736" s="738"/>
      <c r="C736" s="738"/>
      <c r="D736" s="738"/>
      <c r="E736" s="738"/>
      <c r="F736" s="738"/>
      <c r="G736" s="738"/>
      <c r="W736" s="29"/>
      <c r="X736" s="29"/>
      <c r="Y736" s="29"/>
      <c r="Z736" s="29"/>
      <c r="AA736" s="29"/>
      <c r="AB736" s="29"/>
      <c r="AC736" s="29"/>
      <c r="AD736" s="29"/>
      <c r="AE736" s="29"/>
      <c r="AF736" s="29"/>
      <c r="AG736" s="29"/>
      <c r="AH736" s="29"/>
      <c r="AI736" s="29"/>
      <c r="AJ736" s="29"/>
      <c r="AK736" s="29"/>
      <c r="AL736" s="29"/>
      <c r="AM736" s="29"/>
      <c r="AN736" s="29"/>
      <c r="AO736" s="29"/>
      <c r="AP736" s="29"/>
      <c r="AQ736" s="29"/>
      <c r="AR736" s="29"/>
    </row>
    <row r="737" spans="1:44">
      <c r="A737" s="1037"/>
      <c r="B737" s="738"/>
      <c r="C737" s="738"/>
      <c r="D737" s="738"/>
      <c r="E737" s="738"/>
      <c r="F737" s="738"/>
      <c r="G737" s="738"/>
      <c r="W737" s="29"/>
      <c r="X737" s="29"/>
      <c r="Y737" s="29"/>
      <c r="Z737" s="29"/>
      <c r="AA737" s="29"/>
      <c r="AB737" s="29"/>
      <c r="AC737" s="29"/>
      <c r="AD737" s="29"/>
      <c r="AE737" s="29"/>
      <c r="AF737" s="29"/>
      <c r="AG737" s="29"/>
      <c r="AH737" s="29"/>
      <c r="AI737" s="29"/>
      <c r="AJ737" s="29"/>
      <c r="AK737" s="29"/>
      <c r="AL737" s="29"/>
      <c r="AM737" s="29"/>
      <c r="AN737" s="29"/>
      <c r="AO737" s="29"/>
      <c r="AP737" s="29"/>
      <c r="AQ737" s="29"/>
      <c r="AR737" s="29"/>
    </row>
    <row r="738" spans="1:44">
      <c r="A738" s="1037"/>
      <c r="B738" s="738"/>
      <c r="C738" s="738"/>
      <c r="D738" s="738"/>
      <c r="E738" s="738"/>
      <c r="F738" s="738"/>
      <c r="G738" s="738"/>
      <c r="W738" s="29"/>
      <c r="X738" s="29"/>
      <c r="Y738" s="29"/>
      <c r="Z738" s="29"/>
      <c r="AA738" s="29"/>
      <c r="AB738" s="29"/>
      <c r="AC738" s="29"/>
      <c r="AD738" s="29"/>
      <c r="AE738" s="29"/>
      <c r="AF738" s="29"/>
      <c r="AG738" s="29"/>
      <c r="AH738" s="29"/>
      <c r="AI738" s="29"/>
      <c r="AJ738" s="29"/>
      <c r="AK738" s="29"/>
      <c r="AL738" s="29"/>
      <c r="AM738" s="29"/>
      <c r="AN738" s="29"/>
      <c r="AO738" s="29"/>
      <c r="AP738" s="29"/>
      <c r="AQ738" s="29"/>
      <c r="AR738" s="29"/>
    </row>
    <row r="739" spans="1:44">
      <c r="A739" s="1037"/>
      <c r="B739" s="738"/>
      <c r="C739" s="738"/>
      <c r="D739" s="738"/>
      <c r="E739" s="738"/>
      <c r="F739" s="738"/>
      <c r="G739" s="738"/>
      <c r="W739" s="29"/>
      <c r="X739" s="29"/>
      <c r="Y739" s="29"/>
      <c r="Z739" s="29"/>
      <c r="AA739" s="29"/>
      <c r="AB739" s="29"/>
      <c r="AC739" s="29"/>
      <c r="AD739" s="29"/>
      <c r="AE739" s="29"/>
      <c r="AF739" s="29"/>
      <c r="AG739" s="29"/>
      <c r="AH739" s="29"/>
      <c r="AI739" s="29"/>
      <c r="AJ739" s="29"/>
      <c r="AK739" s="29"/>
      <c r="AL739" s="29"/>
      <c r="AM739" s="29"/>
      <c r="AN739" s="29"/>
      <c r="AO739" s="29"/>
      <c r="AP739" s="29"/>
      <c r="AQ739" s="29"/>
      <c r="AR739" s="29"/>
    </row>
    <row r="740" spans="1:44">
      <c r="A740" s="1037"/>
      <c r="B740" s="738"/>
      <c r="C740" s="738"/>
      <c r="D740" s="738"/>
      <c r="E740" s="738"/>
      <c r="F740" s="738"/>
      <c r="G740" s="738"/>
      <c r="W740" s="29"/>
      <c r="X740" s="29"/>
      <c r="Y740" s="29"/>
      <c r="Z740" s="29"/>
      <c r="AA740" s="29"/>
      <c r="AB740" s="29"/>
      <c r="AC740" s="29"/>
      <c r="AD740" s="29"/>
      <c r="AE740" s="29"/>
      <c r="AF740" s="29"/>
      <c r="AG740" s="29"/>
      <c r="AH740" s="29"/>
      <c r="AI740" s="29"/>
      <c r="AJ740" s="29"/>
      <c r="AK740" s="29"/>
      <c r="AL740" s="29"/>
      <c r="AM740" s="29"/>
      <c r="AN740" s="29"/>
      <c r="AO740" s="29"/>
      <c r="AP740" s="29"/>
      <c r="AQ740" s="29"/>
      <c r="AR740" s="29"/>
    </row>
    <row r="741" spans="1:44">
      <c r="A741" s="1037"/>
      <c r="B741" s="738"/>
      <c r="C741" s="738"/>
      <c r="D741" s="738"/>
      <c r="E741" s="738"/>
      <c r="F741" s="738"/>
      <c r="G741" s="738"/>
      <c r="W741" s="29"/>
      <c r="X741" s="29"/>
      <c r="Y741" s="29"/>
      <c r="Z741" s="29"/>
      <c r="AA741" s="29"/>
      <c r="AB741" s="29"/>
      <c r="AC741" s="29"/>
      <c r="AD741" s="29"/>
      <c r="AE741" s="29"/>
      <c r="AF741" s="29"/>
      <c r="AG741" s="29"/>
      <c r="AH741" s="29"/>
      <c r="AI741" s="29"/>
      <c r="AJ741" s="29"/>
      <c r="AK741" s="29"/>
      <c r="AL741" s="29"/>
      <c r="AM741" s="29"/>
      <c r="AN741" s="29"/>
      <c r="AO741" s="29"/>
      <c r="AP741" s="29"/>
      <c r="AQ741" s="29"/>
      <c r="AR741" s="29"/>
    </row>
    <row r="742" spans="1:44">
      <c r="A742" s="1037"/>
      <c r="B742" s="738"/>
      <c r="C742" s="738"/>
      <c r="D742" s="738"/>
      <c r="E742" s="738"/>
      <c r="F742" s="738"/>
      <c r="G742" s="738"/>
      <c r="W742" s="29"/>
      <c r="X742" s="29"/>
      <c r="Y742" s="29"/>
      <c r="Z742" s="29"/>
      <c r="AA742" s="29"/>
      <c r="AB742" s="29"/>
      <c r="AC742" s="29"/>
      <c r="AD742" s="29"/>
      <c r="AE742" s="29"/>
      <c r="AF742" s="29"/>
      <c r="AG742" s="29"/>
      <c r="AH742" s="29"/>
      <c r="AI742" s="29"/>
      <c r="AJ742" s="29"/>
      <c r="AK742" s="29"/>
      <c r="AL742" s="29"/>
      <c r="AM742" s="29"/>
      <c r="AN742" s="29"/>
      <c r="AO742" s="29"/>
      <c r="AP742" s="29"/>
      <c r="AQ742" s="29"/>
      <c r="AR742" s="29"/>
    </row>
    <row r="743" spans="1:44">
      <c r="A743" s="1037"/>
      <c r="B743" s="738"/>
      <c r="C743" s="738"/>
      <c r="D743" s="738"/>
      <c r="E743" s="738"/>
      <c r="F743" s="738"/>
      <c r="G743" s="738"/>
      <c r="W743" s="29"/>
      <c r="X743" s="29"/>
      <c r="Y743" s="29"/>
      <c r="Z743" s="29"/>
      <c r="AA743" s="29"/>
      <c r="AB743" s="29"/>
      <c r="AC743" s="29"/>
      <c r="AD743" s="29"/>
      <c r="AE743" s="29"/>
      <c r="AF743" s="29"/>
      <c r="AG743" s="29"/>
      <c r="AH743" s="29"/>
      <c r="AI743" s="29"/>
      <c r="AJ743" s="29"/>
      <c r="AK743" s="29"/>
      <c r="AL743" s="29"/>
      <c r="AM743" s="29"/>
      <c r="AN743" s="29"/>
      <c r="AO743" s="29"/>
      <c r="AP743" s="29"/>
      <c r="AQ743" s="29"/>
      <c r="AR743" s="29"/>
    </row>
    <row r="744" spans="1:44">
      <c r="A744" s="1037"/>
      <c r="B744" s="738"/>
      <c r="C744" s="738"/>
      <c r="D744" s="738"/>
      <c r="E744" s="738"/>
      <c r="F744" s="738"/>
      <c r="G744" s="738"/>
      <c r="W744" s="29"/>
      <c r="X744" s="29"/>
      <c r="Y744" s="29"/>
      <c r="Z744" s="29"/>
      <c r="AA744" s="29"/>
      <c r="AB744" s="29"/>
      <c r="AC744" s="29"/>
      <c r="AD744" s="29"/>
      <c r="AE744" s="29"/>
      <c r="AF744" s="29"/>
      <c r="AG744" s="29"/>
      <c r="AH744" s="29"/>
      <c r="AI744" s="29"/>
      <c r="AJ744" s="29"/>
      <c r="AK744" s="29"/>
      <c r="AL744" s="29"/>
      <c r="AM744" s="29"/>
      <c r="AN744" s="29"/>
      <c r="AO744" s="29"/>
      <c r="AP744" s="29"/>
      <c r="AQ744" s="29"/>
      <c r="AR744" s="29"/>
    </row>
    <row r="745" spans="1:44">
      <c r="A745" s="1037"/>
      <c r="B745" s="738"/>
      <c r="C745" s="738"/>
      <c r="D745" s="738"/>
      <c r="E745" s="738"/>
      <c r="F745" s="738"/>
      <c r="G745" s="738"/>
      <c r="W745" s="29"/>
      <c r="X745" s="29"/>
      <c r="Y745" s="29"/>
      <c r="Z745" s="29"/>
      <c r="AA745" s="29"/>
      <c r="AB745" s="29"/>
      <c r="AC745" s="29"/>
      <c r="AD745" s="29"/>
      <c r="AE745" s="29"/>
      <c r="AF745" s="29"/>
      <c r="AG745" s="29"/>
      <c r="AH745" s="29"/>
      <c r="AI745" s="29"/>
      <c r="AJ745" s="29"/>
      <c r="AK745" s="29"/>
      <c r="AL745" s="29"/>
      <c r="AM745" s="29"/>
      <c r="AN745" s="29"/>
      <c r="AO745" s="29"/>
      <c r="AP745" s="29"/>
      <c r="AQ745" s="29"/>
      <c r="AR745" s="29"/>
    </row>
    <row r="746" spans="1:44">
      <c r="A746" s="1037"/>
      <c r="B746" s="738"/>
      <c r="C746" s="738"/>
      <c r="D746" s="738"/>
      <c r="E746" s="738"/>
      <c r="F746" s="738"/>
      <c r="G746" s="738"/>
      <c r="W746" s="29"/>
      <c r="X746" s="29"/>
      <c r="Y746" s="29"/>
      <c r="Z746" s="29"/>
      <c r="AA746" s="29"/>
      <c r="AB746" s="29"/>
      <c r="AC746" s="29"/>
      <c r="AD746" s="29"/>
      <c r="AE746" s="29"/>
      <c r="AF746" s="29"/>
      <c r="AG746" s="29"/>
      <c r="AH746" s="29"/>
      <c r="AI746" s="29"/>
      <c r="AJ746" s="29"/>
      <c r="AK746" s="29"/>
      <c r="AL746" s="29"/>
      <c r="AM746" s="29"/>
      <c r="AN746" s="29"/>
      <c r="AO746" s="29"/>
      <c r="AP746" s="29"/>
      <c r="AQ746" s="29"/>
      <c r="AR746" s="29"/>
    </row>
    <row r="747" spans="1:44">
      <c r="A747" s="1037"/>
      <c r="B747" s="738"/>
      <c r="C747" s="738"/>
      <c r="D747" s="738"/>
      <c r="E747" s="738"/>
      <c r="F747" s="738"/>
      <c r="G747" s="738"/>
      <c r="W747" s="29"/>
      <c r="X747" s="29"/>
      <c r="Y747" s="29"/>
      <c r="Z747" s="29"/>
      <c r="AA747" s="29"/>
      <c r="AB747" s="29"/>
      <c r="AC747" s="29"/>
      <c r="AD747" s="29"/>
      <c r="AE747" s="29"/>
      <c r="AF747" s="29"/>
      <c r="AG747" s="29"/>
      <c r="AH747" s="29"/>
      <c r="AI747" s="29"/>
      <c r="AJ747" s="29"/>
      <c r="AK747" s="29"/>
      <c r="AL747" s="29"/>
      <c r="AM747" s="29"/>
      <c r="AN747" s="29"/>
      <c r="AO747" s="29"/>
      <c r="AP747" s="29"/>
      <c r="AQ747" s="29"/>
      <c r="AR747" s="29"/>
    </row>
    <row r="748" spans="1:44">
      <c r="A748" s="1037"/>
      <c r="B748" s="738"/>
      <c r="C748" s="738"/>
      <c r="D748" s="738"/>
      <c r="E748" s="738"/>
      <c r="F748" s="738"/>
      <c r="G748" s="738"/>
      <c r="W748" s="29"/>
      <c r="X748" s="29"/>
      <c r="Y748" s="29"/>
      <c r="Z748" s="29"/>
      <c r="AA748" s="29"/>
      <c r="AB748" s="29"/>
      <c r="AC748" s="29"/>
      <c r="AD748" s="29"/>
      <c r="AE748" s="29"/>
      <c r="AF748" s="29"/>
      <c r="AG748" s="29"/>
      <c r="AH748" s="29"/>
      <c r="AI748" s="29"/>
      <c r="AJ748" s="29"/>
      <c r="AK748" s="29"/>
      <c r="AL748" s="29"/>
      <c r="AM748" s="29"/>
      <c r="AN748" s="29"/>
      <c r="AO748" s="29"/>
      <c r="AP748" s="29"/>
      <c r="AQ748" s="29"/>
      <c r="AR748" s="29"/>
    </row>
    <row r="749" spans="1:44">
      <c r="A749" s="1037"/>
      <c r="B749" s="738"/>
      <c r="C749" s="738"/>
      <c r="D749" s="738"/>
      <c r="E749" s="738"/>
      <c r="F749" s="738"/>
      <c r="G749" s="738"/>
      <c r="W749" s="29"/>
      <c r="X749" s="29"/>
      <c r="Y749" s="29"/>
      <c r="Z749" s="29"/>
      <c r="AA749" s="29"/>
      <c r="AB749" s="29"/>
      <c r="AC749" s="29"/>
      <c r="AD749" s="29"/>
      <c r="AE749" s="29"/>
      <c r="AF749" s="29"/>
      <c r="AG749" s="29"/>
      <c r="AH749" s="29"/>
      <c r="AI749" s="29"/>
      <c r="AJ749" s="29"/>
      <c r="AK749" s="29"/>
      <c r="AL749" s="29"/>
      <c r="AM749" s="29"/>
      <c r="AN749" s="29"/>
      <c r="AO749" s="29"/>
      <c r="AP749" s="29"/>
      <c r="AQ749" s="29"/>
      <c r="AR749" s="29"/>
    </row>
    <row r="750" spans="1:44">
      <c r="A750" s="1037"/>
      <c r="B750" s="738"/>
      <c r="C750" s="738"/>
      <c r="D750" s="738"/>
      <c r="E750" s="738"/>
      <c r="F750" s="738"/>
      <c r="G750" s="738"/>
      <c r="W750" s="29"/>
      <c r="X750" s="29"/>
      <c r="Y750" s="29"/>
      <c r="Z750" s="29"/>
      <c r="AA750" s="29"/>
      <c r="AB750" s="29"/>
      <c r="AC750" s="29"/>
      <c r="AD750" s="29"/>
      <c r="AE750" s="29"/>
      <c r="AF750" s="29"/>
      <c r="AG750" s="29"/>
      <c r="AH750" s="29"/>
      <c r="AI750" s="29"/>
      <c r="AJ750" s="29"/>
      <c r="AK750" s="29"/>
      <c r="AL750" s="29"/>
      <c r="AM750" s="29"/>
      <c r="AN750" s="29"/>
      <c r="AO750" s="29"/>
      <c r="AP750" s="29"/>
      <c r="AQ750" s="29"/>
      <c r="AR750" s="29"/>
    </row>
    <row r="751" spans="1:44">
      <c r="A751" s="1037"/>
      <c r="B751" s="738"/>
      <c r="C751" s="738"/>
      <c r="D751" s="738"/>
      <c r="E751" s="738"/>
      <c r="F751" s="738"/>
      <c r="G751" s="738"/>
      <c r="W751" s="29"/>
      <c r="X751" s="29"/>
      <c r="Y751" s="29"/>
      <c r="Z751" s="29"/>
      <c r="AA751" s="29"/>
      <c r="AB751" s="29"/>
      <c r="AC751" s="29"/>
      <c r="AD751" s="29"/>
      <c r="AE751" s="29"/>
      <c r="AF751" s="29"/>
      <c r="AG751" s="29"/>
      <c r="AH751" s="29"/>
      <c r="AI751" s="29"/>
      <c r="AJ751" s="29"/>
      <c r="AK751" s="29"/>
      <c r="AL751" s="29"/>
      <c r="AM751" s="29"/>
      <c r="AN751" s="29"/>
      <c r="AO751" s="29"/>
      <c r="AP751" s="29"/>
      <c r="AQ751" s="29"/>
      <c r="AR751" s="29"/>
    </row>
    <row r="752" spans="1:44">
      <c r="A752" s="1037"/>
      <c r="B752" s="738"/>
      <c r="C752" s="738"/>
      <c r="D752" s="738"/>
      <c r="E752" s="738"/>
      <c r="F752" s="738"/>
      <c r="G752" s="738"/>
      <c r="W752" s="29"/>
      <c r="X752" s="29"/>
      <c r="Y752" s="29"/>
      <c r="Z752" s="29"/>
      <c r="AA752" s="29"/>
      <c r="AB752" s="29"/>
      <c r="AC752" s="29"/>
      <c r="AD752" s="29"/>
      <c r="AE752" s="29"/>
      <c r="AF752" s="29"/>
      <c r="AG752" s="29"/>
      <c r="AH752" s="29"/>
      <c r="AI752" s="29"/>
      <c r="AJ752" s="29"/>
      <c r="AK752" s="29"/>
      <c r="AL752" s="29"/>
      <c r="AM752" s="29"/>
      <c r="AN752" s="29"/>
      <c r="AO752" s="29"/>
      <c r="AP752" s="29"/>
      <c r="AQ752" s="29"/>
      <c r="AR752" s="29"/>
    </row>
    <row r="753" spans="1:44">
      <c r="A753" s="1037"/>
      <c r="B753" s="738"/>
      <c r="C753" s="738"/>
      <c r="D753" s="738"/>
      <c r="E753" s="738"/>
      <c r="F753" s="738"/>
      <c r="G753" s="738"/>
      <c r="W753" s="29"/>
      <c r="X753" s="29"/>
      <c r="Y753" s="29"/>
      <c r="Z753" s="29"/>
      <c r="AA753" s="29"/>
      <c r="AB753" s="29"/>
      <c r="AC753" s="29"/>
      <c r="AD753" s="29"/>
      <c r="AE753" s="29"/>
      <c r="AF753" s="29"/>
      <c r="AG753" s="29"/>
      <c r="AH753" s="29"/>
      <c r="AI753" s="29"/>
      <c r="AJ753" s="29"/>
      <c r="AK753" s="29"/>
      <c r="AL753" s="29"/>
      <c r="AM753" s="29"/>
      <c r="AN753" s="29"/>
      <c r="AO753" s="29"/>
      <c r="AP753" s="29"/>
      <c r="AQ753" s="29"/>
      <c r="AR753" s="29"/>
    </row>
    <row r="754" spans="1:44">
      <c r="A754" s="1037"/>
      <c r="B754" s="738"/>
      <c r="C754" s="738"/>
      <c r="D754" s="738"/>
      <c r="E754" s="738"/>
      <c r="F754" s="738"/>
      <c r="G754" s="738"/>
      <c r="W754" s="29"/>
      <c r="X754" s="29"/>
      <c r="Y754" s="29"/>
      <c r="Z754" s="29"/>
      <c r="AA754" s="29"/>
      <c r="AB754" s="29"/>
      <c r="AC754" s="29"/>
      <c r="AD754" s="29"/>
      <c r="AE754" s="29"/>
      <c r="AF754" s="29"/>
      <c r="AG754" s="29"/>
      <c r="AH754" s="29"/>
      <c r="AI754" s="29"/>
      <c r="AJ754" s="29"/>
      <c r="AK754" s="29"/>
      <c r="AL754" s="29"/>
      <c r="AM754" s="29"/>
      <c r="AN754" s="29"/>
      <c r="AO754" s="29"/>
      <c r="AP754" s="29"/>
      <c r="AQ754" s="29"/>
      <c r="AR754" s="29"/>
    </row>
    <row r="755" spans="1:44">
      <c r="A755" s="1037"/>
      <c r="B755" s="738"/>
      <c r="C755" s="738"/>
      <c r="D755" s="738"/>
      <c r="E755" s="738"/>
      <c r="F755" s="738"/>
      <c r="G755" s="738"/>
      <c r="W755" s="29"/>
      <c r="X755" s="29"/>
      <c r="Y755" s="29"/>
      <c r="Z755" s="29"/>
      <c r="AA755" s="29"/>
      <c r="AB755" s="29"/>
      <c r="AC755" s="29"/>
      <c r="AD755" s="29"/>
      <c r="AE755" s="29"/>
      <c r="AF755" s="29"/>
      <c r="AG755" s="29"/>
      <c r="AH755" s="29"/>
      <c r="AI755" s="29"/>
      <c r="AJ755" s="29"/>
      <c r="AK755" s="29"/>
      <c r="AL755" s="29"/>
      <c r="AM755" s="29"/>
      <c r="AN755" s="29"/>
      <c r="AO755" s="29"/>
      <c r="AP755" s="29"/>
      <c r="AQ755" s="29"/>
      <c r="AR755" s="29"/>
    </row>
    <row r="756" spans="1:44">
      <c r="A756" s="1037"/>
      <c r="B756" s="738"/>
      <c r="C756" s="738"/>
      <c r="D756" s="738"/>
      <c r="E756" s="738"/>
      <c r="F756" s="738"/>
      <c r="G756" s="738"/>
      <c r="W756" s="29"/>
      <c r="X756" s="29"/>
      <c r="Y756" s="29"/>
      <c r="Z756" s="29"/>
      <c r="AA756" s="29"/>
      <c r="AB756" s="29"/>
      <c r="AC756" s="29"/>
      <c r="AD756" s="29"/>
      <c r="AE756" s="29"/>
      <c r="AF756" s="29"/>
      <c r="AG756" s="29"/>
      <c r="AH756" s="29"/>
      <c r="AI756" s="29"/>
      <c r="AJ756" s="29"/>
      <c r="AK756" s="29"/>
      <c r="AL756" s="29"/>
      <c r="AM756" s="29"/>
      <c r="AN756" s="29"/>
      <c r="AO756" s="29"/>
      <c r="AP756" s="29"/>
      <c r="AQ756" s="29"/>
      <c r="AR756" s="29"/>
    </row>
    <row r="757" spans="1:44">
      <c r="A757" s="1037"/>
      <c r="B757" s="738"/>
      <c r="C757" s="738"/>
      <c r="D757" s="738"/>
      <c r="E757" s="738"/>
      <c r="F757" s="738"/>
      <c r="G757" s="738"/>
      <c r="W757" s="29"/>
      <c r="X757" s="29"/>
      <c r="Y757" s="29"/>
      <c r="Z757" s="29"/>
      <c r="AA757" s="29"/>
      <c r="AB757" s="29"/>
      <c r="AC757" s="29"/>
      <c r="AD757" s="29"/>
      <c r="AE757" s="29"/>
      <c r="AF757" s="29"/>
      <c r="AG757" s="29"/>
      <c r="AH757" s="29"/>
      <c r="AI757" s="29"/>
      <c r="AJ757" s="29"/>
      <c r="AK757" s="29"/>
      <c r="AL757" s="29"/>
      <c r="AM757" s="29"/>
      <c r="AN757" s="29"/>
      <c r="AO757" s="29"/>
      <c r="AP757" s="29"/>
      <c r="AQ757" s="29"/>
      <c r="AR757" s="29"/>
    </row>
    <row r="758" spans="1:44">
      <c r="A758" s="1037"/>
      <c r="B758" s="738"/>
      <c r="C758" s="738"/>
      <c r="D758" s="738"/>
      <c r="E758" s="738"/>
      <c r="F758" s="738"/>
      <c r="G758" s="738"/>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row>
    <row r="759" spans="1:44">
      <c r="A759" s="1037"/>
      <c r="B759" s="738"/>
      <c r="C759" s="738"/>
      <c r="D759" s="738"/>
      <c r="E759" s="738"/>
      <c r="F759" s="738"/>
      <c r="G759" s="738"/>
      <c r="W759" s="29"/>
      <c r="X759" s="29"/>
      <c r="Y759" s="29"/>
      <c r="Z759" s="29"/>
      <c r="AA759" s="29"/>
      <c r="AB759" s="29"/>
      <c r="AC759" s="29"/>
      <c r="AD759" s="29"/>
      <c r="AE759" s="29"/>
      <c r="AF759" s="29"/>
      <c r="AG759" s="29"/>
      <c r="AH759" s="29"/>
      <c r="AI759" s="29"/>
      <c r="AJ759" s="29"/>
      <c r="AK759" s="29"/>
      <c r="AL759" s="29"/>
      <c r="AM759" s="29"/>
      <c r="AN759" s="29"/>
      <c r="AO759" s="29"/>
      <c r="AP759" s="29"/>
      <c r="AQ759" s="29"/>
      <c r="AR759" s="29"/>
    </row>
    <row r="760" spans="1:44">
      <c r="A760" s="1037"/>
      <c r="B760" s="738"/>
      <c r="C760" s="738"/>
      <c r="D760" s="738"/>
      <c r="E760" s="738"/>
      <c r="F760" s="738"/>
      <c r="G760" s="738"/>
      <c r="W760" s="29"/>
      <c r="X760" s="29"/>
      <c r="Y760" s="29"/>
      <c r="Z760" s="29"/>
      <c r="AA760" s="29"/>
      <c r="AB760" s="29"/>
      <c r="AC760" s="29"/>
      <c r="AD760" s="29"/>
      <c r="AE760" s="29"/>
      <c r="AF760" s="29"/>
      <c r="AG760" s="29"/>
      <c r="AH760" s="29"/>
      <c r="AI760" s="29"/>
      <c r="AJ760" s="29"/>
      <c r="AK760" s="29"/>
      <c r="AL760" s="29"/>
      <c r="AM760" s="29"/>
      <c r="AN760" s="29"/>
      <c r="AO760" s="29"/>
      <c r="AP760" s="29"/>
      <c r="AQ760" s="29"/>
      <c r="AR760" s="29"/>
    </row>
    <row r="761" spans="1:44">
      <c r="A761" s="1037"/>
      <c r="B761" s="738"/>
      <c r="C761" s="738"/>
      <c r="D761" s="738"/>
      <c r="E761" s="738"/>
      <c r="F761" s="738"/>
      <c r="G761" s="738"/>
      <c r="W761" s="29"/>
      <c r="X761" s="29"/>
      <c r="Y761" s="29"/>
      <c r="Z761" s="29"/>
      <c r="AA761" s="29"/>
      <c r="AB761" s="29"/>
      <c r="AC761" s="29"/>
      <c r="AD761" s="29"/>
      <c r="AE761" s="29"/>
      <c r="AF761" s="29"/>
      <c r="AG761" s="29"/>
      <c r="AH761" s="29"/>
      <c r="AI761" s="29"/>
      <c r="AJ761" s="29"/>
      <c r="AK761" s="29"/>
      <c r="AL761" s="29"/>
      <c r="AM761" s="29"/>
      <c r="AN761" s="29"/>
      <c r="AO761" s="29"/>
      <c r="AP761" s="29"/>
      <c r="AQ761" s="29"/>
      <c r="AR761" s="29"/>
    </row>
    <row r="762" spans="1:44">
      <c r="A762" s="1037"/>
      <c r="B762" s="738"/>
      <c r="C762" s="738"/>
      <c r="D762" s="738"/>
      <c r="E762" s="738"/>
      <c r="F762" s="738"/>
      <c r="G762" s="738"/>
      <c r="W762" s="29"/>
      <c r="X762" s="29"/>
      <c r="Y762" s="29"/>
      <c r="Z762" s="29"/>
      <c r="AA762" s="29"/>
      <c r="AB762" s="29"/>
      <c r="AC762" s="29"/>
      <c r="AD762" s="29"/>
      <c r="AE762" s="29"/>
      <c r="AF762" s="29"/>
      <c r="AG762" s="29"/>
      <c r="AH762" s="29"/>
      <c r="AI762" s="29"/>
      <c r="AJ762" s="29"/>
      <c r="AK762" s="29"/>
      <c r="AL762" s="29"/>
      <c r="AM762" s="29"/>
      <c r="AN762" s="29"/>
      <c r="AO762" s="29"/>
      <c r="AP762" s="29"/>
      <c r="AQ762" s="29"/>
      <c r="AR762" s="29"/>
    </row>
    <row r="763" spans="1:44">
      <c r="A763" s="1037"/>
      <c r="B763" s="738"/>
      <c r="C763" s="738"/>
      <c r="D763" s="738"/>
      <c r="E763" s="738"/>
      <c r="F763" s="738"/>
      <c r="G763" s="738"/>
      <c r="W763" s="29"/>
      <c r="X763" s="29"/>
      <c r="Y763" s="29"/>
      <c r="Z763" s="29"/>
      <c r="AA763" s="29"/>
      <c r="AB763" s="29"/>
      <c r="AC763" s="29"/>
      <c r="AD763" s="29"/>
      <c r="AE763" s="29"/>
      <c r="AF763" s="29"/>
      <c r="AG763" s="29"/>
      <c r="AH763" s="29"/>
      <c r="AI763" s="29"/>
      <c r="AJ763" s="29"/>
      <c r="AK763" s="29"/>
      <c r="AL763" s="29"/>
      <c r="AM763" s="29"/>
      <c r="AN763" s="29"/>
      <c r="AO763" s="29"/>
      <c r="AP763" s="29"/>
      <c r="AQ763" s="29"/>
      <c r="AR763" s="29"/>
    </row>
    <row r="764" spans="1:44">
      <c r="A764" s="1037"/>
      <c r="B764" s="738"/>
      <c r="C764" s="738"/>
      <c r="D764" s="738"/>
      <c r="E764" s="738"/>
      <c r="F764" s="738"/>
      <c r="G764" s="738"/>
      <c r="W764" s="29"/>
      <c r="X764" s="29"/>
      <c r="Y764" s="29"/>
      <c r="Z764" s="29"/>
      <c r="AA764" s="29"/>
      <c r="AB764" s="29"/>
      <c r="AC764" s="29"/>
      <c r="AD764" s="29"/>
      <c r="AE764" s="29"/>
      <c r="AF764" s="29"/>
      <c r="AG764" s="29"/>
      <c r="AH764" s="29"/>
      <c r="AI764" s="29"/>
      <c r="AJ764" s="29"/>
      <c r="AK764" s="29"/>
      <c r="AL764" s="29"/>
      <c r="AM764" s="29"/>
      <c r="AN764" s="29"/>
      <c r="AO764" s="29"/>
      <c r="AP764" s="29"/>
      <c r="AQ764" s="29"/>
      <c r="AR764" s="29"/>
    </row>
    <row r="765" spans="1:44">
      <c r="A765" s="1037"/>
      <c r="B765" s="738"/>
      <c r="C765" s="738"/>
      <c r="D765" s="738"/>
      <c r="E765" s="738"/>
      <c r="F765" s="738"/>
      <c r="G765" s="738"/>
      <c r="W765" s="29"/>
      <c r="X765" s="29"/>
      <c r="Y765" s="29"/>
      <c r="Z765" s="29"/>
      <c r="AA765" s="29"/>
      <c r="AB765" s="29"/>
      <c r="AC765" s="29"/>
      <c r="AD765" s="29"/>
      <c r="AE765" s="29"/>
      <c r="AF765" s="29"/>
      <c r="AG765" s="29"/>
      <c r="AH765" s="29"/>
      <c r="AI765" s="29"/>
      <c r="AJ765" s="29"/>
      <c r="AK765" s="29"/>
      <c r="AL765" s="29"/>
      <c r="AM765" s="29"/>
      <c r="AN765" s="29"/>
      <c r="AO765" s="29"/>
      <c r="AP765" s="29"/>
      <c r="AQ765" s="29"/>
      <c r="AR765" s="29"/>
    </row>
    <row r="766" spans="1:44">
      <c r="A766" s="1037"/>
      <c r="B766" s="738"/>
      <c r="C766" s="738"/>
      <c r="D766" s="738"/>
      <c r="E766" s="738"/>
      <c r="F766" s="738"/>
      <c r="G766" s="738"/>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row>
    <row r="767" spans="1:44">
      <c r="A767" s="1037"/>
      <c r="B767" s="738"/>
      <c r="C767" s="738"/>
      <c r="D767" s="738"/>
      <c r="E767" s="738"/>
      <c r="F767" s="738"/>
      <c r="G767" s="738"/>
      <c r="W767" s="29"/>
      <c r="X767" s="29"/>
      <c r="Y767" s="29"/>
      <c r="Z767" s="29"/>
      <c r="AA767" s="29"/>
      <c r="AB767" s="29"/>
      <c r="AC767" s="29"/>
      <c r="AD767" s="29"/>
      <c r="AE767" s="29"/>
      <c r="AF767" s="29"/>
      <c r="AG767" s="29"/>
      <c r="AH767" s="29"/>
      <c r="AI767" s="29"/>
      <c r="AJ767" s="29"/>
      <c r="AK767" s="29"/>
      <c r="AL767" s="29"/>
      <c r="AM767" s="29"/>
      <c r="AN767" s="29"/>
      <c r="AO767" s="29"/>
      <c r="AP767" s="29"/>
      <c r="AQ767" s="29"/>
      <c r="AR767" s="29"/>
    </row>
    <row r="768" spans="1:44">
      <c r="A768" s="1037"/>
      <c r="B768" s="738"/>
      <c r="C768" s="738"/>
      <c r="D768" s="738"/>
      <c r="E768" s="738"/>
      <c r="F768" s="738"/>
      <c r="G768" s="738"/>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row>
    <row r="769" spans="1:44">
      <c r="A769" s="1037"/>
      <c r="B769" s="738"/>
      <c r="C769" s="738"/>
      <c r="D769" s="738"/>
      <c r="E769" s="738"/>
      <c r="F769" s="738"/>
      <c r="G769" s="738"/>
      <c r="W769" s="29"/>
      <c r="X769" s="29"/>
      <c r="Y769" s="29"/>
      <c r="Z769" s="29"/>
      <c r="AA769" s="29"/>
      <c r="AB769" s="29"/>
      <c r="AC769" s="29"/>
      <c r="AD769" s="29"/>
      <c r="AE769" s="29"/>
      <c r="AF769" s="29"/>
      <c r="AG769" s="29"/>
      <c r="AH769" s="29"/>
      <c r="AI769" s="29"/>
      <c r="AJ769" s="29"/>
      <c r="AK769" s="29"/>
      <c r="AL769" s="29"/>
      <c r="AM769" s="29"/>
      <c r="AN769" s="29"/>
      <c r="AO769" s="29"/>
      <c r="AP769" s="29"/>
      <c r="AQ769" s="29"/>
      <c r="AR769" s="29"/>
    </row>
    <row r="770" spans="1:44">
      <c r="A770" s="1037"/>
      <c r="B770" s="738"/>
      <c r="C770" s="738"/>
      <c r="D770" s="738"/>
      <c r="E770" s="738"/>
      <c r="F770" s="738"/>
      <c r="G770" s="738"/>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row>
    <row r="771" spans="1:44">
      <c r="A771" s="1037"/>
      <c r="B771" s="738"/>
      <c r="C771" s="738"/>
      <c r="D771" s="738"/>
      <c r="E771" s="738"/>
      <c r="F771" s="738"/>
      <c r="G771" s="738"/>
      <c r="W771" s="29"/>
      <c r="X771" s="29"/>
      <c r="Y771" s="29"/>
      <c r="Z771" s="29"/>
      <c r="AA771" s="29"/>
      <c r="AB771" s="29"/>
      <c r="AC771" s="29"/>
      <c r="AD771" s="29"/>
      <c r="AE771" s="29"/>
      <c r="AF771" s="29"/>
      <c r="AG771" s="29"/>
      <c r="AH771" s="29"/>
      <c r="AI771" s="29"/>
      <c r="AJ771" s="29"/>
      <c r="AK771" s="29"/>
      <c r="AL771" s="29"/>
      <c r="AM771" s="29"/>
      <c r="AN771" s="29"/>
      <c r="AO771" s="29"/>
      <c r="AP771" s="29"/>
      <c r="AQ771" s="29"/>
      <c r="AR771" s="29"/>
    </row>
    <row r="772" spans="1:44">
      <c r="A772" s="1037"/>
      <c r="B772" s="738"/>
      <c r="C772" s="738"/>
      <c r="D772" s="738"/>
      <c r="E772" s="738"/>
      <c r="F772" s="738"/>
      <c r="G772" s="738"/>
      <c r="W772" s="29"/>
      <c r="X772" s="29"/>
      <c r="Y772" s="29"/>
      <c r="Z772" s="29"/>
      <c r="AA772" s="29"/>
      <c r="AB772" s="29"/>
      <c r="AC772" s="29"/>
      <c r="AD772" s="29"/>
      <c r="AE772" s="29"/>
      <c r="AF772" s="29"/>
      <c r="AG772" s="29"/>
      <c r="AH772" s="29"/>
      <c r="AI772" s="29"/>
      <c r="AJ772" s="29"/>
      <c r="AK772" s="29"/>
      <c r="AL772" s="29"/>
      <c r="AM772" s="29"/>
      <c r="AN772" s="29"/>
      <c r="AO772" s="29"/>
      <c r="AP772" s="29"/>
      <c r="AQ772" s="29"/>
      <c r="AR772" s="29"/>
    </row>
    <row r="773" spans="1:44">
      <c r="A773" s="1037"/>
      <c r="B773" s="738"/>
      <c r="C773" s="738"/>
      <c r="D773" s="738"/>
      <c r="E773" s="738"/>
      <c r="F773" s="738"/>
      <c r="G773" s="738"/>
      <c r="W773" s="29"/>
      <c r="X773" s="29"/>
      <c r="Y773" s="29"/>
      <c r="Z773" s="29"/>
      <c r="AA773" s="29"/>
      <c r="AB773" s="29"/>
      <c r="AC773" s="29"/>
      <c r="AD773" s="29"/>
      <c r="AE773" s="29"/>
      <c r="AF773" s="29"/>
      <c r="AG773" s="29"/>
      <c r="AH773" s="29"/>
      <c r="AI773" s="29"/>
      <c r="AJ773" s="29"/>
      <c r="AK773" s="29"/>
      <c r="AL773" s="29"/>
      <c r="AM773" s="29"/>
      <c r="AN773" s="29"/>
      <c r="AO773" s="29"/>
      <c r="AP773" s="29"/>
      <c r="AQ773" s="29"/>
      <c r="AR773" s="29"/>
    </row>
    <row r="774" spans="1:44">
      <c r="A774" s="1037"/>
      <c r="B774" s="738"/>
      <c r="C774" s="738"/>
      <c r="D774" s="738"/>
      <c r="E774" s="738"/>
      <c r="F774" s="738"/>
      <c r="G774" s="738"/>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row>
    <row r="775" spans="1:44">
      <c r="A775" s="1037"/>
      <c r="B775" s="738"/>
      <c r="C775" s="738"/>
      <c r="D775" s="738"/>
      <c r="E775" s="738"/>
      <c r="F775" s="738"/>
      <c r="G775" s="738"/>
      <c r="W775" s="29"/>
      <c r="X775" s="29"/>
      <c r="Y775" s="29"/>
      <c r="Z775" s="29"/>
      <c r="AA775" s="29"/>
      <c r="AB775" s="29"/>
      <c r="AC775" s="29"/>
      <c r="AD775" s="29"/>
      <c r="AE775" s="29"/>
      <c r="AF775" s="29"/>
      <c r="AG775" s="29"/>
      <c r="AH775" s="29"/>
      <c r="AI775" s="29"/>
      <c r="AJ775" s="29"/>
      <c r="AK775" s="29"/>
      <c r="AL775" s="29"/>
      <c r="AM775" s="29"/>
      <c r="AN775" s="29"/>
      <c r="AO775" s="29"/>
      <c r="AP775" s="29"/>
      <c r="AQ775" s="29"/>
      <c r="AR775" s="29"/>
    </row>
    <row r="776" spans="1:44">
      <c r="A776" s="1037"/>
      <c r="B776" s="738"/>
      <c r="C776" s="738"/>
      <c r="D776" s="738"/>
      <c r="E776" s="738"/>
      <c r="F776" s="738"/>
      <c r="G776" s="738"/>
      <c r="W776" s="29"/>
      <c r="X776" s="29"/>
      <c r="Y776" s="29"/>
      <c r="Z776" s="29"/>
      <c r="AA776" s="29"/>
      <c r="AB776" s="29"/>
      <c r="AC776" s="29"/>
      <c r="AD776" s="29"/>
      <c r="AE776" s="29"/>
      <c r="AF776" s="29"/>
      <c r="AG776" s="29"/>
      <c r="AH776" s="29"/>
      <c r="AI776" s="29"/>
      <c r="AJ776" s="29"/>
      <c r="AK776" s="29"/>
      <c r="AL776" s="29"/>
      <c r="AM776" s="29"/>
      <c r="AN776" s="29"/>
      <c r="AO776" s="29"/>
      <c r="AP776" s="29"/>
      <c r="AQ776" s="29"/>
      <c r="AR776" s="29"/>
    </row>
    <row r="777" spans="1:44">
      <c r="A777" s="1037"/>
      <c r="B777" s="738"/>
      <c r="C777" s="738"/>
      <c r="D777" s="738"/>
      <c r="E777" s="738"/>
      <c r="F777" s="738"/>
      <c r="G777" s="738"/>
      <c r="W777" s="29"/>
      <c r="X777" s="29"/>
      <c r="Y777" s="29"/>
      <c r="Z777" s="29"/>
      <c r="AA777" s="29"/>
      <c r="AB777" s="29"/>
      <c r="AC777" s="29"/>
      <c r="AD777" s="29"/>
      <c r="AE777" s="29"/>
      <c r="AF777" s="29"/>
      <c r="AG777" s="29"/>
      <c r="AH777" s="29"/>
      <c r="AI777" s="29"/>
      <c r="AJ777" s="29"/>
      <c r="AK777" s="29"/>
      <c r="AL777" s="29"/>
      <c r="AM777" s="29"/>
      <c r="AN777" s="29"/>
      <c r="AO777" s="29"/>
      <c r="AP777" s="29"/>
      <c r="AQ777" s="29"/>
      <c r="AR777" s="29"/>
    </row>
    <row r="778" spans="1:44">
      <c r="A778" s="1037"/>
      <c r="B778" s="738"/>
      <c r="C778" s="738"/>
      <c r="D778" s="738"/>
      <c r="E778" s="738"/>
      <c r="F778" s="738"/>
      <c r="G778" s="738"/>
      <c r="W778" s="29"/>
      <c r="X778" s="29"/>
      <c r="Y778" s="29"/>
      <c r="Z778" s="29"/>
      <c r="AA778" s="29"/>
      <c r="AB778" s="29"/>
      <c r="AC778" s="29"/>
      <c r="AD778" s="29"/>
      <c r="AE778" s="29"/>
      <c r="AF778" s="29"/>
      <c r="AG778" s="29"/>
      <c r="AH778" s="29"/>
      <c r="AI778" s="29"/>
      <c r="AJ778" s="29"/>
      <c r="AK778" s="29"/>
      <c r="AL778" s="29"/>
      <c r="AM778" s="29"/>
      <c r="AN778" s="29"/>
      <c r="AO778" s="29"/>
      <c r="AP778" s="29"/>
      <c r="AQ778" s="29"/>
      <c r="AR778" s="29"/>
    </row>
    <row r="779" spans="1:44">
      <c r="A779" s="1037"/>
      <c r="B779" s="738"/>
      <c r="C779" s="738"/>
      <c r="D779" s="738"/>
      <c r="E779" s="738"/>
      <c r="F779" s="738"/>
      <c r="G779" s="738"/>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row>
    <row r="780" spans="1:44">
      <c r="A780" s="1037"/>
      <c r="B780" s="738"/>
      <c r="C780" s="738"/>
      <c r="D780" s="738"/>
      <c r="E780" s="738"/>
      <c r="F780" s="738"/>
      <c r="G780" s="738"/>
      <c r="W780" s="29"/>
      <c r="X780" s="29"/>
      <c r="Y780" s="29"/>
      <c r="Z780" s="29"/>
      <c r="AA780" s="29"/>
      <c r="AB780" s="29"/>
      <c r="AC780" s="29"/>
      <c r="AD780" s="29"/>
      <c r="AE780" s="29"/>
      <c r="AF780" s="29"/>
      <c r="AG780" s="29"/>
      <c r="AH780" s="29"/>
      <c r="AI780" s="29"/>
      <c r="AJ780" s="29"/>
      <c r="AK780" s="29"/>
      <c r="AL780" s="29"/>
      <c r="AM780" s="29"/>
      <c r="AN780" s="29"/>
      <c r="AO780" s="29"/>
      <c r="AP780" s="29"/>
      <c r="AQ780" s="29"/>
      <c r="AR780" s="29"/>
    </row>
    <row r="781" spans="1:44">
      <c r="A781" s="1037"/>
      <c r="B781" s="738"/>
      <c r="C781" s="738"/>
      <c r="D781" s="738"/>
      <c r="E781" s="738"/>
      <c r="F781" s="738"/>
      <c r="G781" s="738"/>
      <c r="W781" s="29"/>
      <c r="X781" s="29"/>
      <c r="Y781" s="29"/>
      <c r="Z781" s="29"/>
      <c r="AA781" s="29"/>
      <c r="AB781" s="29"/>
      <c r="AC781" s="29"/>
      <c r="AD781" s="29"/>
      <c r="AE781" s="29"/>
      <c r="AF781" s="29"/>
      <c r="AG781" s="29"/>
      <c r="AH781" s="29"/>
      <c r="AI781" s="29"/>
      <c r="AJ781" s="29"/>
      <c r="AK781" s="29"/>
      <c r="AL781" s="29"/>
      <c r="AM781" s="29"/>
      <c r="AN781" s="29"/>
      <c r="AO781" s="29"/>
      <c r="AP781" s="29"/>
      <c r="AQ781" s="29"/>
      <c r="AR781" s="29"/>
    </row>
    <row r="782" spans="1:44">
      <c r="A782" s="1037"/>
      <c r="B782" s="738"/>
      <c r="C782" s="738"/>
      <c r="D782" s="738"/>
      <c r="E782" s="738"/>
      <c r="F782" s="738"/>
      <c r="G782" s="738"/>
      <c r="W782" s="29"/>
      <c r="X782" s="29"/>
      <c r="Y782" s="29"/>
      <c r="Z782" s="29"/>
      <c r="AA782" s="29"/>
      <c r="AB782" s="29"/>
      <c r="AC782" s="29"/>
      <c r="AD782" s="29"/>
      <c r="AE782" s="29"/>
      <c r="AF782" s="29"/>
      <c r="AG782" s="29"/>
      <c r="AH782" s="29"/>
      <c r="AI782" s="29"/>
      <c r="AJ782" s="29"/>
      <c r="AK782" s="29"/>
      <c r="AL782" s="29"/>
      <c r="AM782" s="29"/>
      <c r="AN782" s="29"/>
      <c r="AO782" s="29"/>
      <c r="AP782" s="29"/>
      <c r="AQ782" s="29"/>
      <c r="AR782" s="29"/>
    </row>
    <row r="783" spans="1:44">
      <c r="A783" s="1037"/>
      <c r="B783" s="738"/>
      <c r="C783" s="738"/>
      <c r="D783" s="738"/>
      <c r="E783" s="738"/>
      <c r="F783" s="738"/>
      <c r="G783" s="738"/>
      <c r="W783" s="29"/>
      <c r="X783" s="29"/>
      <c r="Y783" s="29"/>
      <c r="Z783" s="29"/>
      <c r="AA783" s="29"/>
      <c r="AB783" s="29"/>
      <c r="AC783" s="29"/>
      <c r="AD783" s="29"/>
      <c r="AE783" s="29"/>
      <c r="AF783" s="29"/>
      <c r="AG783" s="29"/>
      <c r="AH783" s="29"/>
      <c r="AI783" s="29"/>
      <c r="AJ783" s="29"/>
      <c r="AK783" s="29"/>
      <c r="AL783" s="29"/>
      <c r="AM783" s="29"/>
      <c r="AN783" s="29"/>
      <c r="AO783" s="29"/>
      <c r="AP783" s="29"/>
      <c r="AQ783" s="29"/>
      <c r="AR783" s="29"/>
    </row>
    <row r="784" spans="1:44">
      <c r="A784" s="1037"/>
      <c r="B784" s="738"/>
      <c r="C784" s="738"/>
      <c r="D784" s="738"/>
      <c r="E784" s="738"/>
      <c r="F784" s="738"/>
      <c r="G784" s="738"/>
      <c r="W784" s="29"/>
      <c r="X784" s="29"/>
      <c r="Y784" s="29"/>
      <c r="Z784" s="29"/>
      <c r="AA784" s="29"/>
      <c r="AB784" s="29"/>
      <c r="AC784" s="29"/>
      <c r="AD784" s="29"/>
      <c r="AE784" s="29"/>
      <c r="AF784" s="29"/>
      <c r="AG784" s="29"/>
      <c r="AH784" s="29"/>
      <c r="AI784" s="29"/>
      <c r="AJ784" s="29"/>
      <c r="AK784" s="29"/>
      <c r="AL784" s="29"/>
      <c r="AM784" s="29"/>
      <c r="AN784" s="29"/>
      <c r="AO784" s="29"/>
      <c r="AP784" s="29"/>
      <c r="AQ784" s="29"/>
      <c r="AR784" s="29"/>
    </row>
    <row r="785" spans="1:44">
      <c r="A785" s="1037"/>
      <c r="B785" s="738"/>
      <c r="C785" s="738"/>
      <c r="D785" s="738"/>
      <c r="E785" s="738"/>
      <c r="F785" s="738"/>
      <c r="G785" s="738"/>
      <c r="W785" s="29"/>
      <c r="X785" s="29"/>
      <c r="Y785" s="29"/>
      <c r="Z785" s="29"/>
      <c r="AA785" s="29"/>
      <c r="AB785" s="29"/>
      <c r="AC785" s="29"/>
      <c r="AD785" s="29"/>
      <c r="AE785" s="29"/>
      <c r="AF785" s="29"/>
      <c r="AG785" s="29"/>
      <c r="AH785" s="29"/>
      <c r="AI785" s="29"/>
      <c r="AJ785" s="29"/>
      <c r="AK785" s="29"/>
      <c r="AL785" s="29"/>
      <c r="AM785" s="29"/>
      <c r="AN785" s="29"/>
      <c r="AO785" s="29"/>
      <c r="AP785" s="29"/>
      <c r="AQ785" s="29"/>
      <c r="AR785" s="29"/>
    </row>
    <row r="786" spans="1:44">
      <c r="A786" s="1037"/>
      <c r="B786" s="738"/>
      <c r="C786" s="738"/>
      <c r="D786" s="738"/>
      <c r="E786" s="738"/>
      <c r="F786" s="738"/>
      <c r="G786" s="738"/>
      <c r="W786" s="29"/>
      <c r="X786" s="29"/>
      <c r="Y786" s="29"/>
      <c r="Z786" s="29"/>
      <c r="AA786" s="29"/>
      <c r="AB786" s="29"/>
      <c r="AC786" s="29"/>
      <c r="AD786" s="29"/>
      <c r="AE786" s="29"/>
      <c r="AF786" s="29"/>
      <c r="AG786" s="29"/>
      <c r="AH786" s="29"/>
      <c r="AI786" s="29"/>
      <c r="AJ786" s="29"/>
      <c r="AK786" s="29"/>
      <c r="AL786" s="29"/>
      <c r="AM786" s="29"/>
      <c r="AN786" s="29"/>
      <c r="AO786" s="29"/>
      <c r="AP786" s="29"/>
      <c r="AQ786" s="29"/>
      <c r="AR786" s="29"/>
    </row>
    <row r="787" spans="1:44">
      <c r="A787" s="1037"/>
      <c r="B787" s="738"/>
      <c r="C787" s="738"/>
      <c r="D787" s="738"/>
      <c r="E787" s="738"/>
      <c r="F787" s="738"/>
      <c r="G787" s="738"/>
      <c r="W787" s="29"/>
      <c r="X787" s="29"/>
      <c r="Y787" s="29"/>
      <c r="Z787" s="29"/>
      <c r="AA787" s="29"/>
      <c r="AB787" s="29"/>
      <c r="AC787" s="29"/>
      <c r="AD787" s="29"/>
      <c r="AE787" s="29"/>
      <c r="AF787" s="29"/>
      <c r="AG787" s="29"/>
      <c r="AH787" s="29"/>
      <c r="AI787" s="29"/>
      <c r="AJ787" s="29"/>
      <c r="AK787" s="29"/>
      <c r="AL787" s="29"/>
      <c r="AM787" s="29"/>
      <c r="AN787" s="29"/>
      <c r="AO787" s="29"/>
      <c r="AP787" s="29"/>
      <c r="AQ787" s="29"/>
      <c r="AR787" s="29"/>
    </row>
    <row r="788" spans="1:44">
      <c r="A788" s="1037"/>
      <c r="B788" s="738"/>
      <c r="C788" s="738"/>
      <c r="D788" s="738"/>
      <c r="E788" s="738"/>
      <c r="F788" s="738"/>
      <c r="G788" s="738"/>
      <c r="W788" s="29"/>
      <c r="X788" s="29"/>
      <c r="Y788" s="29"/>
      <c r="Z788" s="29"/>
      <c r="AA788" s="29"/>
      <c r="AB788" s="29"/>
      <c r="AC788" s="29"/>
      <c r="AD788" s="29"/>
      <c r="AE788" s="29"/>
      <c r="AF788" s="29"/>
      <c r="AG788" s="29"/>
      <c r="AH788" s="29"/>
      <c r="AI788" s="29"/>
      <c r="AJ788" s="29"/>
      <c r="AK788" s="29"/>
      <c r="AL788" s="29"/>
      <c r="AM788" s="29"/>
      <c r="AN788" s="29"/>
      <c r="AO788" s="29"/>
      <c r="AP788" s="29"/>
      <c r="AQ788" s="29"/>
      <c r="AR788" s="29"/>
    </row>
    <row r="789" spans="1:44">
      <c r="A789" s="1037"/>
      <c r="B789" s="738"/>
      <c r="C789" s="738"/>
      <c r="D789" s="738"/>
      <c r="E789" s="738"/>
      <c r="F789" s="738"/>
      <c r="G789" s="738"/>
      <c r="W789" s="29"/>
      <c r="X789" s="29"/>
      <c r="Y789" s="29"/>
      <c r="Z789" s="29"/>
      <c r="AA789" s="29"/>
      <c r="AB789" s="29"/>
      <c r="AC789" s="29"/>
      <c r="AD789" s="29"/>
      <c r="AE789" s="29"/>
      <c r="AF789" s="29"/>
      <c r="AG789" s="29"/>
      <c r="AH789" s="29"/>
      <c r="AI789" s="29"/>
      <c r="AJ789" s="29"/>
      <c r="AK789" s="29"/>
      <c r="AL789" s="29"/>
      <c r="AM789" s="29"/>
      <c r="AN789" s="29"/>
      <c r="AO789" s="29"/>
      <c r="AP789" s="29"/>
      <c r="AQ789" s="29"/>
      <c r="AR789" s="29"/>
    </row>
    <row r="790" spans="1:44">
      <c r="A790" s="1037"/>
      <c r="B790" s="738"/>
      <c r="C790" s="738"/>
      <c r="D790" s="738"/>
      <c r="E790" s="738"/>
      <c r="F790" s="738"/>
      <c r="G790" s="738"/>
      <c r="W790" s="29"/>
      <c r="X790" s="29"/>
      <c r="Y790" s="29"/>
      <c r="Z790" s="29"/>
      <c r="AA790" s="29"/>
      <c r="AB790" s="29"/>
      <c r="AC790" s="29"/>
      <c r="AD790" s="29"/>
      <c r="AE790" s="29"/>
      <c r="AF790" s="29"/>
      <c r="AG790" s="29"/>
      <c r="AH790" s="29"/>
      <c r="AI790" s="29"/>
      <c r="AJ790" s="29"/>
      <c r="AK790" s="29"/>
      <c r="AL790" s="29"/>
      <c r="AM790" s="29"/>
      <c r="AN790" s="29"/>
      <c r="AO790" s="29"/>
      <c r="AP790" s="29"/>
      <c r="AQ790" s="29"/>
      <c r="AR790" s="29"/>
    </row>
    <row r="791" spans="1:44">
      <c r="A791" s="1037"/>
      <c r="B791" s="738"/>
      <c r="C791" s="738"/>
      <c r="D791" s="738"/>
      <c r="E791" s="738"/>
      <c r="F791" s="738"/>
      <c r="G791" s="738"/>
      <c r="W791" s="29"/>
      <c r="X791" s="29"/>
      <c r="Y791" s="29"/>
      <c r="Z791" s="29"/>
      <c r="AA791" s="29"/>
      <c r="AB791" s="29"/>
      <c r="AC791" s="29"/>
      <c r="AD791" s="29"/>
      <c r="AE791" s="29"/>
      <c r="AF791" s="29"/>
      <c r="AG791" s="29"/>
      <c r="AH791" s="29"/>
      <c r="AI791" s="29"/>
      <c r="AJ791" s="29"/>
      <c r="AK791" s="29"/>
      <c r="AL791" s="29"/>
      <c r="AM791" s="29"/>
      <c r="AN791" s="29"/>
      <c r="AO791" s="29"/>
      <c r="AP791" s="29"/>
      <c r="AQ791" s="29"/>
      <c r="AR791" s="29"/>
    </row>
    <row r="792" spans="1:44">
      <c r="A792" s="1037"/>
      <c r="B792" s="738"/>
      <c r="C792" s="738"/>
      <c r="D792" s="738"/>
      <c r="E792" s="738"/>
      <c r="F792" s="738"/>
      <c r="G792" s="738"/>
      <c r="W792" s="29"/>
      <c r="X792" s="29"/>
      <c r="Y792" s="29"/>
      <c r="Z792" s="29"/>
      <c r="AA792" s="29"/>
      <c r="AB792" s="29"/>
      <c r="AC792" s="29"/>
      <c r="AD792" s="29"/>
      <c r="AE792" s="29"/>
      <c r="AF792" s="29"/>
      <c r="AG792" s="29"/>
      <c r="AH792" s="29"/>
      <c r="AI792" s="29"/>
      <c r="AJ792" s="29"/>
      <c r="AK792" s="29"/>
      <c r="AL792" s="29"/>
      <c r="AM792" s="29"/>
      <c r="AN792" s="29"/>
      <c r="AO792" s="29"/>
      <c r="AP792" s="29"/>
      <c r="AQ792" s="29"/>
      <c r="AR792" s="29"/>
    </row>
    <row r="793" spans="1:44">
      <c r="A793" s="1037"/>
      <c r="B793" s="738"/>
      <c r="C793" s="738"/>
      <c r="D793" s="738"/>
      <c r="E793" s="738"/>
      <c r="F793" s="738"/>
      <c r="G793" s="738"/>
      <c r="W793" s="29"/>
      <c r="X793" s="29"/>
      <c r="Y793" s="29"/>
      <c r="Z793" s="29"/>
      <c r="AA793" s="29"/>
      <c r="AB793" s="29"/>
      <c r="AC793" s="29"/>
      <c r="AD793" s="29"/>
      <c r="AE793" s="29"/>
      <c r="AF793" s="29"/>
      <c r="AG793" s="29"/>
      <c r="AH793" s="29"/>
      <c r="AI793" s="29"/>
      <c r="AJ793" s="29"/>
      <c r="AK793" s="29"/>
      <c r="AL793" s="29"/>
      <c r="AM793" s="29"/>
      <c r="AN793" s="29"/>
      <c r="AO793" s="29"/>
      <c r="AP793" s="29"/>
      <c r="AQ793" s="29"/>
      <c r="AR793" s="29"/>
    </row>
    <row r="794" spans="1:44">
      <c r="A794" s="1037"/>
      <c r="B794" s="738"/>
      <c r="C794" s="738"/>
      <c r="D794" s="738"/>
      <c r="E794" s="738"/>
      <c r="F794" s="738"/>
      <c r="G794" s="738"/>
      <c r="W794" s="29"/>
      <c r="X794" s="29"/>
      <c r="Y794" s="29"/>
      <c r="Z794" s="29"/>
      <c r="AA794" s="29"/>
      <c r="AB794" s="29"/>
      <c r="AC794" s="29"/>
      <c r="AD794" s="29"/>
      <c r="AE794" s="29"/>
      <c r="AF794" s="29"/>
      <c r="AG794" s="29"/>
      <c r="AH794" s="29"/>
      <c r="AI794" s="29"/>
      <c r="AJ794" s="29"/>
      <c r="AK794" s="29"/>
      <c r="AL794" s="29"/>
      <c r="AM794" s="29"/>
      <c r="AN794" s="29"/>
      <c r="AO794" s="29"/>
      <c r="AP794" s="29"/>
      <c r="AQ794" s="29"/>
      <c r="AR794" s="29"/>
    </row>
    <row r="795" spans="1:44">
      <c r="A795" s="1037"/>
      <c r="B795" s="738"/>
      <c r="C795" s="738"/>
      <c r="D795" s="738"/>
      <c r="E795" s="738"/>
      <c r="F795" s="738"/>
      <c r="G795" s="738"/>
      <c r="W795" s="29"/>
      <c r="X795" s="29"/>
      <c r="Y795" s="29"/>
      <c r="Z795" s="29"/>
      <c r="AA795" s="29"/>
      <c r="AB795" s="29"/>
      <c r="AC795" s="29"/>
      <c r="AD795" s="29"/>
      <c r="AE795" s="29"/>
      <c r="AF795" s="29"/>
      <c r="AG795" s="29"/>
      <c r="AH795" s="29"/>
      <c r="AI795" s="29"/>
      <c r="AJ795" s="29"/>
      <c r="AK795" s="29"/>
      <c r="AL795" s="29"/>
      <c r="AM795" s="29"/>
      <c r="AN795" s="29"/>
      <c r="AO795" s="29"/>
      <c r="AP795" s="29"/>
      <c r="AQ795" s="29"/>
      <c r="AR795" s="29"/>
    </row>
    <row r="796" spans="1:44">
      <c r="A796" s="1037"/>
      <c r="B796" s="738"/>
      <c r="C796" s="738"/>
      <c r="D796" s="738"/>
      <c r="E796" s="738"/>
      <c r="F796" s="738"/>
      <c r="G796" s="738"/>
      <c r="W796" s="29"/>
      <c r="X796" s="29"/>
      <c r="Y796" s="29"/>
      <c r="Z796" s="29"/>
      <c r="AA796" s="29"/>
      <c r="AB796" s="29"/>
      <c r="AC796" s="29"/>
      <c r="AD796" s="29"/>
      <c r="AE796" s="29"/>
      <c r="AF796" s="29"/>
      <c r="AG796" s="29"/>
      <c r="AH796" s="29"/>
      <c r="AI796" s="29"/>
      <c r="AJ796" s="29"/>
      <c r="AK796" s="29"/>
      <c r="AL796" s="29"/>
      <c r="AM796" s="29"/>
      <c r="AN796" s="29"/>
      <c r="AO796" s="29"/>
      <c r="AP796" s="29"/>
      <c r="AQ796" s="29"/>
      <c r="AR796" s="29"/>
    </row>
    <row r="797" spans="1:44">
      <c r="A797" s="1037"/>
      <c r="B797" s="738"/>
      <c r="C797" s="738"/>
      <c r="D797" s="738"/>
      <c r="E797" s="738"/>
      <c r="F797" s="738"/>
      <c r="G797" s="738"/>
      <c r="W797" s="29"/>
      <c r="X797" s="29"/>
      <c r="Y797" s="29"/>
      <c r="Z797" s="29"/>
      <c r="AA797" s="29"/>
      <c r="AB797" s="29"/>
      <c r="AC797" s="29"/>
      <c r="AD797" s="29"/>
      <c r="AE797" s="29"/>
      <c r="AF797" s="29"/>
      <c r="AG797" s="29"/>
      <c r="AH797" s="29"/>
      <c r="AI797" s="29"/>
      <c r="AJ797" s="29"/>
      <c r="AK797" s="29"/>
      <c r="AL797" s="29"/>
      <c r="AM797" s="29"/>
      <c r="AN797" s="29"/>
      <c r="AO797" s="29"/>
      <c r="AP797" s="29"/>
      <c r="AQ797" s="29"/>
      <c r="AR797" s="29"/>
    </row>
    <row r="798" spans="1:44">
      <c r="A798" s="1037"/>
      <c r="B798" s="738"/>
      <c r="C798" s="738"/>
      <c r="D798" s="738"/>
      <c r="E798" s="738"/>
      <c r="F798" s="738"/>
      <c r="G798" s="738"/>
      <c r="W798" s="29"/>
      <c r="X798" s="29"/>
      <c r="Y798" s="29"/>
      <c r="Z798" s="29"/>
      <c r="AA798" s="29"/>
      <c r="AB798" s="29"/>
      <c r="AC798" s="29"/>
      <c r="AD798" s="29"/>
      <c r="AE798" s="29"/>
      <c r="AF798" s="29"/>
      <c r="AG798" s="29"/>
      <c r="AH798" s="29"/>
      <c r="AI798" s="29"/>
      <c r="AJ798" s="29"/>
      <c r="AK798" s="29"/>
      <c r="AL798" s="29"/>
      <c r="AM798" s="29"/>
      <c r="AN798" s="29"/>
      <c r="AO798" s="29"/>
      <c r="AP798" s="29"/>
      <c r="AQ798" s="29"/>
      <c r="AR798" s="29"/>
    </row>
    <row r="799" spans="1:44">
      <c r="A799" s="1037"/>
      <c r="B799" s="738"/>
      <c r="C799" s="738"/>
      <c r="D799" s="738"/>
      <c r="E799" s="738"/>
      <c r="F799" s="738"/>
      <c r="G799" s="738"/>
      <c r="W799" s="29"/>
      <c r="X799" s="29"/>
      <c r="Y799" s="29"/>
      <c r="Z799" s="29"/>
      <c r="AA799" s="29"/>
      <c r="AB799" s="29"/>
      <c r="AC799" s="29"/>
      <c r="AD799" s="29"/>
      <c r="AE799" s="29"/>
      <c r="AF799" s="29"/>
      <c r="AG799" s="29"/>
      <c r="AH799" s="29"/>
      <c r="AI799" s="29"/>
      <c r="AJ799" s="29"/>
      <c r="AK799" s="29"/>
      <c r="AL799" s="29"/>
      <c r="AM799" s="29"/>
      <c r="AN799" s="29"/>
      <c r="AO799" s="29"/>
      <c r="AP799" s="29"/>
      <c r="AQ799" s="29"/>
      <c r="AR799" s="29"/>
    </row>
    <row r="800" spans="1:44">
      <c r="A800" s="1037"/>
      <c r="B800" s="738"/>
      <c r="C800" s="738"/>
      <c r="D800" s="738"/>
      <c r="E800" s="738"/>
      <c r="F800" s="738"/>
      <c r="G800" s="738"/>
      <c r="W800" s="29"/>
      <c r="X800" s="29"/>
      <c r="Y800" s="29"/>
      <c r="Z800" s="29"/>
      <c r="AA800" s="29"/>
      <c r="AB800" s="29"/>
      <c r="AC800" s="29"/>
      <c r="AD800" s="29"/>
      <c r="AE800" s="29"/>
      <c r="AF800" s="29"/>
      <c r="AG800" s="29"/>
      <c r="AH800" s="29"/>
      <c r="AI800" s="29"/>
      <c r="AJ800" s="29"/>
      <c r="AK800" s="29"/>
      <c r="AL800" s="29"/>
      <c r="AM800" s="29"/>
      <c r="AN800" s="29"/>
      <c r="AO800" s="29"/>
      <c r="AP800" s="29"/>
      <c r="AQ800" s="29"/>
      <c r="AR800" s="29"/>
    </row>
    <row r="801" spans="1:44">
      <c r="A801" s="1037"/>
      <c r="B801" s="738"/>
      <c r="C801" s="738"/>
      <c r="D801" s="738"/>
      <c r="E801" s="738"/>
      <c r="F801" s="738"/>
      <c r="G801" s="738"/>
      <c r="W801" s="29"/>
      <c r="X801" s="29"/>
      <c r="Y801" s="29"/>
      <c r="Z801" s="29"/>
      <c r="AA801" s="29"/>
      <c r="AB801" s="29"/>
      <c r="AC801" s="29"/>
      <c r="AD801" s="29"/>
      <c r="AE801" s="29"/>
      <c r="AF801" s="29"/>
      <c r="AG801" s="29"/>
      <c r="AH801" s="29"/>
      <c r="AI801" s="29"/>
      <c r="AJ801" s="29"/>
      <c r="AK801" s="29"/>
      <c r="AL801" s="29"/>
      <c r="AM801" s="29"/>
      <c r="AN801" s="29"/>
      <c r="AO801" s="29"/>
      <c r="AP801" s="29"/>
      <c r="AQ801" s="29"/>
      <c r="AR801" s="29"/>
    </row>
    <row r="802" spans="1:44">
      <c r="A802" s="1037"/>
      <c r="B802" s="738"/>
      <c r="C802" s="738"/>
      <c r="D802" s="738"/>
      <c r="E802" s="738"/>
      <c r="F802" s="738"/>
      <c r="G802" s="738"/>
      <c r="W802" s="29"/>
      <c r="X802" s="29"/>
      <c r="Y802" s="29"/>
      <c r="Z802" s="29"/>
      <c r="AA802" s="29"/>
      <c r="AB802" s="29"/>
      <c r="AC802" s="29"/>
      <c r="AD802" s="29"/>
      <c r="AE802" s="29"/>
      <c r="AF802" s="29"/>
      <c r="AG802" s="29"/>
      <c r="AH802" s="29"/>
      <c r="AI802" s="29"/>
      <c r="AJ802" s="29"/>
      <c r="AK802" s="29"/>
      <c r="AL802" s="29"/>
      <c r="AM802" s="29"/>
      <c r="AN802" s="29"/>
      <c r="AO802" s="29"/>
      <c r="AP802" s="29"/>
      <c r="AQ802" s="29"/>
      <c r="AR802" s="29"/>
    </row>
    <row r="803" spans="1:44">
      <c r="A803" s="1037"/>
      <c r="B803" s="738"/>
      <c r="C803" s="738"/>
      <c r="D803" s="738"/>
      <c r="E803" s="738"/>
      <c r="F803" s="738"/>
      <c r="G803" s="738"/>
      <c r="W803" s="29"/>
      <c r="X803" s="29"/>
      <c r="Y803" s="29"/>
      <c r="Z803" s="29"/>
      <c r="AA803" s="29"/>
      <c r="AB803" s="29"/>
      <c r="AC803" s="29"/>
      <c r="AD803" s="29"/>
      <c r="AE803" s="29"/>
      <c r="AF803" s="29"/>
      <c r="AG803" s="29"/>
      <c r="AH803" s="29"/>
      <c r="AI803" s="29"/>
      <c r="AJ803" s="29"/>
      <c r="AK803" s="29"/>
      <c r="AL803" s="29"/>
      <c r="AM803" s="29"/>
      <c r="AN803" s="29"/>
      <c r="AO803" s="29"/>
      <c r="AP803" s="29"/>
      <c r="AQ803" s="29"/>
      <c r="AR803" s="29"/>
    </row>
    <row r="804" spans="1:44">
      <c r="A804" s="1037"/>
      <c r="B804" s="738"/>
      <c r="C804" s="738"/>
      <c r="D804" s="738"/>
      <c r="E804" s="738"/>
      <c r="F804" s="738"/>
      <c r="G804" s="738"/>
      <c r="W804" s="29"/>
      <c r="X804" s="29"/>
      <c r="Y804" s="29"/>
      <c r="Z804" s="29"/>
      <c r="AA804" s="29"/>
      <c r="AB804" s="29"/>
      <c r="AC804" s="29"/>
      <c r="AD804" s="29"/>
      <c r="AE804" s="29"/>
      <c r="AF804" s="29"/>
      <c r="AG804" s="29"/>
      <c r="AH804" s="29"/>
      <c r="AI804" s="29"/>
      <c r="AJ804" s="29"/>
      <c r="AK804" s="29"/>
      <c r="AL804" s="29"/>
      <c r="AM804" s="29"/>
      <c r="AN804" s="29"/>
      <c r="AO804" s="29"/>
      <c r="AP804" s="29"/>
      <c r="AQ804" s="29"/>
      <c r="AR804" s="29"/>
    </row>
    <row r="805" spans="1:44">
      <c r="A805" s="1037"/>
      <c r="B805" s="738"/>
      <c r="C805" s="738"/>
      <c r="D805" s="738"/>
      <c r="E805" s="738"/>
      <c r="F805" s="738"/>
      <c r="G805" s="738"/>
      <c r="W805" s="29"/>
      <c r="X805" s="29"/>
      <c r="Y805" s="29"/>
      <c r="Z805" s="29"/>
      <c r="AA805" s="29"/>
      <c r="AB805" s="29"/>
      <c r="AC805" s="29"/>
      <c r="AD805" s="29"/>
      <c r="AE805" s="29"/>
      <c r="AF805" s="29"/>
      <c r="AG805" s="29"/>
      <c r="AH805" s="29"/>
      <c r="AI805" s="29"/>
      <c r="AJ805" s="29"/>
      <c r="AK805" s="29"/>
      <c r="AL805" s="29"/>
      <c r="AM805" s="29"/>
      <c r="AN805" s="29"/>
      <c r="AO805" s="29"/>
      <c r="AP805" s="29"/>
      <c r="AQ805" s="29"/>
      <c r="AR805" s="29"/>
    </row>
    <row r="806" spans="1:44">
      <c r="A806" s="1037"/>
      <c r="B806" s="738"/>
      <c r="C806" s="738"/>
      <c r="D806" s="738"/>
      <c r="E806" s="738"/>
      <c r="F806" s="738"/>
      <c r="G806" s="738"/>
      <c r="W806" s="29"/>
      <c r="X806" s="29"/>
      <c r="Y806" s="29"/>
      <c r="Z806" s="29"/>
      <c r="AA806" s="29"/>
      <c r="AB806" s="29"/>
      <c r="AC806" s="29"/>
      <c r="AD806" s="29"/>
      <c r="AE806" s="29"/>
      <c r="AF806" s="29"/>
      <c r="AG806" s="29"/>
      <c r="AH806" s="29"/>
      <c r="AI806" s="29"/>
      <c r="AJ806" s="29"/>
      <c r="AK806" s="29"/>
      <c r="AL806" s="29"/>
      <c r="AM806" s="29"/>
      <c r="AN806" s="29"/>
      <c r="AO806" s="29"/>
      <c r="AP806" s="29"/>
      <c r="AQ806" s="29"/>
      <c r="AR806" s="29"/>
    </row>
    <row r="807" spans="1:44">
      <c r="A807" s="1037"/>
      <c r="B807" s="738"/>
      <c r="C807" s="738"/>
      <c r="D807" s="738"/>
      <c r="E807" s="738"/>
      <c r="F807" s="738"/>
      <c r="G807" s="738"/>
      <c r="W807" s="29"/>
      <c r="X807" s="29"/>
      <c r="Y807" s="29"/>
      <c r="Z807" s="29"/>
      <c r="AA807" s="29"/>
      <c r="AB807" s="29"/>
      <c r="AC807" s="29"/>
      <c r="AD807" s="29"/>
      <c r="AE807" s="29"/>
      <c r="AF807" s="29"/>
      <c r="AG807" s="29"/>
      <c r="AH807" s="29"/>
      <c r="AI807" s="29"/>
      <c r="AJ807" s="29"/>
      <c r="AK807" s="29"/>
      <c r="AL807" s="29"/>
      <c r="AM807" s="29"/>
      <c r="AN807" s="29"/>
      <c r="AO807" s="29"/>
      <c r="AP807" s="29"/>
      <c r="AQ807" s="29"/>
      <c r="AR807" s="29"/>
    </row>
    <row r="808" spans="1:44">
      <c r="A808" s="1037"/>
      <c r="B808" s="738"/>
      <c r="C808" s="738"/>
      <c r="D808" s="738"/>
      <c r="E808" s="738"/>
      <c r="F808" s="738"/>
      <c r="G808" s="738"/>
      <c r="W808" s="29"/>
      <c r="X808" s="29"/>
      <c r="Y808" s="29"/>
      <c r="Z808" s="29"/>
      <c r="AA808" s="29"/>
      <c r="AB808" s="29"/>
      <c r="AC808" s="29"/>
      <c r="AD808" s="29"/>
      <c r="AE808" s="29"/>
      <c r="AF808" s="29"/>
      <c r="AG808" s="29"/>
      <c r="AH808" s="29"/>
      <c r="AI808" s="29"/>
      <c r="AJ808" s="29"/>
      <c r="AK808" s="29"/>
      <c r="AL808" s="29"/>
      <c r="AM808" s="29"/>
      <c r="AN808" s="29"/>
      <c r="AO808" s="29"/>
      <c r="AP808" s="29"/>
      <c r="AQ808" s="29"/>
      <c r="AR808" s="29"/>
    </row>
    <row r="809" spans="1:44">
      <c r="A809" s="1037"/>
      <c r="B809" s="738"/>
      <c r="C809" s="738"/>
      <c r="D809" s="738"/>
      <c r="E809" s="738"/>
      <c r="F809" s="738"/>
      <c r="G809" s="738"/>
      <c r="W809" s="29"/>
      <c r="X809" s="29"/>
      <c r="Y809" s="29"/>
      <c r="Z809" s="29"/>
      <c r="AA809" s="29"/>
      <c r="AB809" s="29"/>
      <c r="AC809" s="29"/>
      <c r="AD809" s="29"/>
      <c r="AE809" s="29"/>
      <c r="AF809" s="29"/>
      <c r="AG809" s="29"/>
      <c r="AH809" s="29"/>
      <c r="AI809" s="29"/>
      <c r="AJ809" s="29"/>
      <c r="AK809" s="29"/>
      <c r="AL809" s="29"/>
      <c r="AM809" s="29"/>
      <c r="AN809" s="29"/>
      <c r="AO809" s="29"/>
      <c r="AP809" s="29"/>
      <c r="AQ809" s="29"/>
      <c r="AR809" s="29"/>
    </row>
    <row r="810" spans="1:44">
      <c r="A810" s="1037"/>
      <c r="B810" s="738"/>
      <c r="C810" s="738"/>
      <c r="D810" s="738"/>
      <c r="E810" s="738"/>
      <c r="F810" s="738"/>
      <c r="G810" s="738"/>
      <c r="W810" s="29"/>
      <c r="X810" s="29"/>
      <c r="Y810" s="29"/>
      <c r="Z810" s="29"/>
      <c r="AA810" s="29"/>
      <c r="AB810" s="29"/>
      <c r="AC810" s="29"/>
      <c r="AD810" s="29"/>
      <c r="AE810" s="29"/>
      <c r="AF810" s="29"/>
      <c r="AG810" s="29"/>
      <c r="AH810" s="29"/>
      <c r="AI810" s="29"/>
      <c r="AJ810" s="29"/>
      <c r="AK810" s="29"/>
      <c r="AL810" s="29"/>
      <c r="AM810" s="29"/>
      <c r="AN810" s="29"/>
      <c r="AO810" s="29"/>
      <c r="AP810" s="29"/>
      <c r="AQ810" s="29"/>
      <c r="AR810" s="29"/>
    </row>
    <row r="811" spans="1:44">
      <c r="A811" s="1037"/>
      <c r="B811" s="738"/>
      <c r="C811" s="738"/>
      <c r="D811" s="738"/>
      <c r="E811" s="738"/>
      <c r="F811" s="738"/>
      <c r="G811" s="738"/>
      <c r="W811" s="29"/>
      <c r="X811" s="29"/>
      <c r="Y811" s="29"/>
      <c r="Z811" s="29"/>
      <c r="AA811" s="29"/>
      <c r="AB811" s="29"/>
      <c r="AC811" s="29"/>
      <c r="AD811" s="29"/>
      <c r="AE811" s="29"/>
      <c r="AF811" s="29"/>
      <c r="AG811" s="29"/>
      <c r="AH811" s="29"/>
      <c r="AI811" s="29"/>
      <c r="AJ811" s="29"/>
      <c r="AK811" s="29"/>
      <c r="AL811" s="29"/>
      <c r="AM811" s="29"/>
      <c r="AN811" s="29"/>
      <c r="AO811" s="29"/>
      <c r="AP811" s="29"/>
      <c r="AQ811" s="29"/>
      <c r="AR811" s="29"/>
    </row>
    <row r="812" spans="1:44">
      <c r="A812" s="1037"/>
      <c r="B812" s="738"/>
      <c r="C812" s="738"/>
      <c r="D812" s="738"/>
      <c r="E812" s="738"/>
      <c r="F812" s="738"/>
      <c r="G812" s="738"/>
      <c r="W812" s="29"/>
      <c r="X812" s="29"/>
      <c r="Y812" s="29"/>
      <c r="Z812" s="29"/>
      <c r="AA812" s="29"/>
      <c r="AB812" s="29"/>
      <c r="AC812" s="29"/>
      <c r="AD812" s="29"/>
      <c r="AE812" s="29"/>
      <c r="AF812" s="29"/>
      <c r="AG812" s="29"/>
      <c r="AH812" s="29"/>
      <c r="AI812" s="29"/>
      <c r="AJ812" s="29"/>
      <c r="AK812" s="29"/>
      <c r="AL812" s="29"/>
      <c r="AM812" s="29"/>
      <c r="AN812" s="29"/>
      <c r="AO812" s="29"/>
      <c r="AP812" s="29"/>
      <c r="AQ812" s="29"/>
      <c r="AR812" s="29"/>
    </row>
    <row r="813" spans="1:44">
      <c r="A813" s="1037"/>
      <c r="B813" s="738"/>
      <c r="C813" s="738"/>
      <c r="D813" s="738"/>
      <c r="E813" s="738"/>
      <c r="F813" s="738"/>
      <c r="G813" s="738"/>
      <c r="W813" s="29"/>
      <c r="X813" s="29"/>
      <c r="Y813" s="29"/>
      <c r="Z813" s="29"/>
      <c r="AA813" s="29"/>
      <c r="AB813" s="29"/>
      <c r="AC813" s="29"/>
      <c r="AD813" s="29"/>
      <c r="AE813" s="29"/>
      <c r="AF813" s="29"/>
      <c r="AG813" s="29"/>
      <c r="AH813" s="29"/>
      <c r="AI813" s="29"/>
      <c r="AJ813" s="29"/>
      <c r="AK813" s="29"/>
      <c r="AL813" s="29"/>
      <c r="AM813" s="29"/>
      <c r="AN813" s="29"/>
      <c r="AO813" s="29"/>
      <c r="AP813" s="29"/>
      <c r="AQ813" s="29"/>
      <c r="AR813" s="29"/>
    </row>
    <row r="814" spans="1:44">
      <c r="A814" s="1037"/>
      <c r="B814" s="738"/>
      <c r="C814" s="738"/>
      <c r="D814" s="738"/>
      <c r="E814" s="738"/>
      <c r="F814" s="738"/>
      <c r="G814" s="738"/>
      <c r="W814" s="29"/>
      <c r="X814" s="29"/>
      <c r="Y814" s="29"/>
      <c r="Z814" s="29"/>
      <c r="AA814" s="29"/>
      <c r="AB814" s="29"/>
      <c r="AC814" s="29"/>
      <c r="AD814" s="29"/>
      <c r="AE814" s="29"/>
      <c r="AF814" s="29"/>
      <c r="AG814" s="29"/>
      <c r="AH814" s="29"/>
      <c r="AI814" s="29"/>
      <c r="AJ814" s="29"/>
      <c r="AK814" s="29"/>
      <c r="AL814" s="29"/>
      <c r="AM814" s="29"/>
      <c r="AN814" s="29"/>
      <c r="AO814" s="29"/>
      <c r="AP814" s="29"/>
      <c r="AQ814" s="29"/>
      <c r="AR814" s="29"/>
    </row>
    <row r="815" spans="1:44">
      <c r="A815" s="1037"/>
      <c r="B815" s="738"/>
      <c r="C815" s="738"/>
      <c r="D815" s="738"/>
      <c r="E815" s="738"/>
      <c r="F815" s="738"/>
      <c r="G815" s="738"/>
      <c r="W815" s="29"/>
      <c r="X815" s="29"/>
      <c r="Y815" s="29"/>
      <c r="Z815" s="29"/>
      <c r="AA815" s="29"/>
      <c r="AB815" s="29"/>
      <c r="AC815" s="29"/>
      <c r="AD815" s="29"/>
      <c r="AE815" s="29"/>
      <c r="AF815" s="29"/>
      <c r="AG815" s="29"/>
      <c r="AH815" s="29"/>
      <c r="AI815" s="29"/>
      <c r="AJ815" s="29"/>
      <c r="AK815" s="29"/>
      <c r="AL815" s="29"/>
      <c r="AM815" s="29"/>
      <c r="AN815" s="29"/>
      <c r="AO815" s="29"/>
      <c r="AP815" s="29"/>
      <c r="AQ815" s="29"/>
      <c r="AR815" s="29"/>
    </row>
    <row r="816" spans="1:44">
      <c r="A816" s="1037"/>
      <c r="B816" s="738"/>
      <c r="C816" s="738"/>
      <c r="D816" s="738"/>
      <c r="E816" s="738"/>
      <c r="F816" s="738"/>
      <c r="G816" s="738"/>
      <c r="W816" s="29"/>
      <c r="X816" s="29"/>
      <c r="Y816" s="29"/>
      <c r="Z816" s="29"/>
      <c r="AA816" s="29"/>
      <c r="AB816" s="29"/>
      <c r="AC816" s="29"/>
      <c r="AD816" s="29"/>
      <c r="AE816" s="29"/>
      <c r="AF816" s="29"/>
      <c r="AG816" s="29"/>
      <c r="AH816" s="29"/>
      <c r="AI816" s="29"/>
      <c r="AJ816" s="29"/>
      <c r="AK816" s="29"/>
      <c r="AL816" s="29"/>
      <c r="AM816" s="29"/>
      <c r="AN816" s="29"/>
      <c r="AO816" s="29"/>
      <c r="AP816" s="29"/>
      <c r="AQ816" s="29"/>
      <c r="AR816" s="29"/>
    </row>
    <row r="817" spans="1:44">
      <c r="A817" s="1037"/>
      <c r="B817" s="738"/>
      <c r="C817" s="738"/>
      <c r="D817" s="738"/>
      <c r="E817" s="738"/>
      <c r="F817" s="738"/>
      <c r="G817" s="738"/>
      <c r="W817" s="29"/>
      <c r="X817" s="29"/>
      <c r="Y817" s="29"/>
      <c r="Z817" s="29"/>
      <c r="AA817" s="29"/>
      <c r="AB817" s="29"/>
      <c r="AC817" s="29"/>
      <c r="AD817" s="29"/>
      <c r="AE817" s="29"/>
      <c r="AF817" s="29"/>
      <c r="AG817" s="29"/>
      <c r="AH817" s="29"/>
      <c r="AI817" s="29"/>
      <c r="AJ817" s="29"/>
      <c r="AK817" s="29"/>
      <c r="AL817" s="29"/>
      <c r="AM817" s="29"/>
      <c r="AN817" s="29"/>
      <c r="AO817" s="29"/>
      <c r="AP817" s="29"/>
      <c r="AQ817" s="29"/>
      <c r="AR817" s="29"/>
    </row>
    <row r="818" spans="1:44">
      <c r="A818" s="1037"/>
      <c r="B818" s="738"/>
      <c r="C818" s="738"/>
      <c r="D818" s="738"/>
      <c r="E818" s="738"/>
      <c r="F818" s="738"/>
      <c r="G818" s="738"/>
      <c r="W818" s="29"/>
      <c r="X818" s="29"/>
      <c r="Y818" s="29"/>
      <c r="Z818" s="29"/>
      <c r="AA818" s="29"/>
      <c r="AB818" s="29"/>
      <c r="AC818" s="29"/>
      <c r="AD818" s="29"/>
      <c r="AE818" s="29"/>
      <c r="AF818" s="29"/>
      <c r="AG818" s="29"/>
      <c r="AH818" s="29"/>
      <c r="AI818" s="29"/>
      <c r="AJ818" s="29"/>
      <c r="AK818" s="29"/>
      <c r="AL818" s="29"/>
      <c r="AM818" s="29"/>
      <c r="AN818" s="29"/>
      <c r="AO818" s="29"/>
      <c r="AP818" s="29"/>
      <c r="AQ818" s="29"/>
      <c r="AR818" s="29"/>
    </row>
    <row r="819" spans="1:44">
      <c r="A819" s="1037"/>
      <c r="B819" s="738"/>
      <c r="C819" s="738"/>
      <c r="D819" s="738"/>
      <c r="E819" s="738"/>
      <c r="F819" s="738"/>
      <c r="G819" s="738"/>
      <c r="W819" s="29"/>
      <c r="X819" s="29"/>
      <c r="Y819" s="29"/>
      <c r="Z819" s="29"/>
      <c r="AA819" s="29"/>
      <c r="AB819" s="29"/>
      <c r="AC819" s="29"/>
      <c r="AD819" s="29"/>
      <c r="AE819" s="29"/>
      <c r="AF819" s="29"/>
      <c r="AG819" s="29"/>
      <c r="AH819" s="29"/>
      <c r="AI819" s="29"/>
      <c r="AJ819" s="29"/>
      <c r="AK819" s="29"/>
      <c r="AL819" s="29"/>
      <c r="AM819" s="29"/>
      <c r="AN819" s="29"/>
      <c r="AO819" s="29"/>
      <c r="AP819" s="29"/>
      <c r="AQ819" s="29"/>
      <c r="AR819" s="29"/>
    </row>
    <row r="820" spans="1:44">
      <c r="A820" s="1037"/>
      <c r="B820" s="738"/>
      <c r="C820" s="738"/>
      <c r="D820" s="738"/>
      <c r="E820" s="738"/>
      <c r="F820" s="738"/>
      <c r="G820" s="738"/>
      <c r="W820" s="29"/>
      <c r="X820" s="29"/>
      <c r="Y820" s="29"/>
      <c r="Z820" s="29"/>
      <c r="AA820" s="29"/>
      <c r="AB820" s="29"/>
      <c r="AC820" s="29"/>
      <c r="AD820" s="29"/>
      <c r="AE820" s="29"/>
      <c r="AF820" s="29"/>
      <c r="AG820" s="29"/>
      <c r="AH820" s="29"/>
      <c r="AI820" s="29"/>
      <c r="AJ820" s="29"/>
      <c r="AK820" s="29"/>
      <c r="AL820" s="29"/>
      <c r="AM820" s="29"/>
      <c r="AN820" s="29"/>
      <c r="AO820" s="29"/>
      <c r="AP820" s="29"/>
      <c r="AQ820" s="29"/>
      <c r="AR820" s="29"/>
    </row>
    <row r="821" spans="1:44">
      <c r="A821" s="1037"/>
      <c r="B821" s="738"/>
      <c r="C821" s="738"/>
      <c r="D821" s="738"/>
      <c r="E821" s="738"/>
      <c r="F821" s="738"/>
      <c r="G821" s="738"/>
      <c r="W821" s="29"/>
      <c r="X821" s="29"/>
      <c r="Y821" s="29"/>
      <c r="Z821" s="29"/>
      <c r="AA821" s="29"/>
      <c r="AB821" s="29"/>
      <c r="AC821" s="29"/>
      <c r="AD821" s="29"/>
      <c r="AE821" s="29"/>
      <c r="AF821" s="29"/>
      <c r="AG821" s="29"/>
      <c r="AH821" s="29"/>
      <c r="AI821" s="29"/>
      <c r="AJ821" s="29"/>
      <c r="AK821" s="29"/>
      <c r="AL821" s="29"/>
      <c r="AM821" s="29"/>
      <c r="AN821" s="29"/>
      <c r="AO821" s="29"/>
      <c r="AP821" s="29"/>
      <c r="AQ821" s="29"/>
      <c r="AR821" s="29"/>
    </row>
    <row r="822" spans="1:44">
      <c r="A822" s="1037"/>
      <c r="B822" s="738"/>
      <c r="C822" s="738"/>
      <c r="D822" s="738"/>
      <c r="E822" s="738"/>
      <c r="F822" s="738"/>
      <c r="G822" s="738"/>
      <c r="W822" s="29"/>
      <c r="X822" s="29"/>
      <c r="Y822" s="29"/>
      <c r="Z822" s="29"/>
      <c r="AA822" s="29"/>
      <c r="AB822" s="29"/>
      <c r="AC822" s="29"/>
      <c r="AD822" s="29"/>
      <c r="AE822" s="29"/>
      <c r="AF822" s="29"/>
      <c r="AG822" s="29"/>
      <c r="AH822" s="29"/>
      <c r="AI822" s="29"/>
      <c r="AJ822" s="29"/>
      <c r="AK822" s="29"/>
      <c r="AL822" s="29"/>
      <c r="AM822" s="29"/>
      <c r="AN822" s="29"/>
      <c r="AO822" s="29"/>
      <c r="AP822" s="29"/>
      <c r="AQ822" s="29"/>
      <c r="AR822" s="29"/>
    </row>
    <row r="823" spans="1:44">
      <c r="A823" s="1037"/>
      <c r="B823" s="738"/>
      <c r="C823" s="738"/>
      <c r="D823" s="738"/>
      <c r="E823" s="738"/>
      <c r="F823" s="738"/>
      <c r="G823" s="738"/>
      <c r="W823" s="29"/>
      <c r="X823" s="29"/>
      <c r="Y823" s="29"/>
      <c r="Z823" s="29"/>
      <c r="AA823" s="29"/>
      <c r="AB823" s="29"/>
      <c r="AC823" s="29"/>
      <c r="AD823" s="29"/>
      <c r="AE823" s="29"/>
      <c r="AF823" s="29"/>
      <c r="AG823" s="29"/>
      <c r="AH823" s="29"/>
      <c r="AI823" s="29"/>
      <c r="AJ823" s="29"/>
      <c r="AK823" s="29"/>
      <c r="AL823" s="29"/>
      <c r="AM823" s="29"/>
      <c r="AN823" s="29"/>
      <c r="AO823" s="29"/>
      <c r="AP823" s="29"/>
      <c r="AQ823" s="29"/>
      <c r="AR823" s="29"/>
    </row>
    <row r="824" spans="1:44">
      <c r="A824" s="1037"/>
      <c r="B824" s="738"/>
      <c r="C824" s="738"/>
      <c r="D824" s="738"/>
      <c r="E824" s="738"/>
      <c r="F824" s="738"/>
      <c r="G824" s="738"/>
      <c r="W824" s="29"/>
      <c r="X824" s="29"/>
      <c r="Y824" s="29"/>
      <c r="Z824" s="29"/>
      <c r="AA824" s="29"/>
      <c r="AB824" s="29"/>
      <c r="AC824" s="29"/>
      <c r="AD824" s="29"/>
      <c r="AE824" s="29"/>
      <c r="AF824" s="29"/>
      <c r="AG824" s="29"/>
      <c r="AH824" s="29"/>
      <c r="AI824" s="29"/>
      <c r="AJ824" s="29"/>
      <c r="AK824" s="29"/>
      <c r="AL824" s="29"/>
      <c r="AM824" s="29"/>
      <c r="AN824" s="29"/>
      <c r="AO824" s="29"/>
      <c r="AP824" s="29"/>
      <c r="AQ824" s="29"/>
      <c r="AR824" s="29"/>
    </row>
    <row r="825" spans="1:44">
      <c r="A825" s="1037"/>
      <c r="B825" s="738"/>
      <c r="C825" s="738"/>
      <c r="D825" s="738"/>
      <c r="E825" s="738"/>
      <c r="F825" s="738"/>
      <c r="G825" s="738"/>
      <c r="W825" s="29"/>
      <c r="X825" s="29"/>
      <c r="Y825" s="29"/>
      <c r="Z825" s="29"/>
      <c r="AA825" s="29"/>
      <c r="AB825" s="29"/>
      <c r="AC825" s="29"/>
      <c r="AD825" s="29"/>
      <c r="AE825" s="29"/>
      <c r="AF825" s="29"/>
      <c r="AG825" s="29"/>
      <c r="AH825" s="29"/>
      <c r="AI825" s="29"/>
      <c r="AJ825" s="29"/>
      <c r="AK825" s="29"/>
      <c r="AL825" s="29"/>
      <c r="AM825" s="29"/>
      <c r="AN825" s="29"/>
      <c r="AO825" s="29"/>
      <c r="AP825" s="29"/>
      <c r="AQ825" s="29"/>
      <c r="AR825" s="29"/>
    </row>
    <row r="826" spans="1:44">
      <c r="A826" s="1037"/>
      <c r="B826" s="738"/>
      <c r="C826" s="738"/>
      <c r="D826" s="738"/>
      <c r="E826" s="738"/>
      <c r="F826" s="738"/>
      <c r="G826" s="738"/>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row>
    <row r="827" spans="1:44">
      <c r="A827" s="1037"/>
      <c r="B827" s="738"/>
      <c r="C827" s="738"/>
      <c r="D827" s="738"/>
      <c r="E827" s="738"/>
      <c r="F827" s="738"/>
      <c r="G827" s="738"/>
    </row>
    <row r="828" spans="1:44">
      <c r="A828" s="1037"/>
      <c r="B828" s="738"/>
      <c r="C828" s="738"/>
      <c r="D828" s="738"/>
      <c r="E828" s="738"/>
      <c r="F828" s="738"/>
      <c r="G828" s="738"/>
    </row>
    <row r="829" spans="1:44">
      <c r="A829" s="1037"/>
      <c r="B829" s="738"/>
      <c r="C829" s="738"/>
      <c r="D829" s="738"/>
      <c r="E829" s="738"/>
      <c r="F829" s="738"/>
      <c r="G829" s="738"/>
    </row>
    <row r="830" spans="1:44">
      <c r="A830" s="1037"/>
      <c r="B830" s="738"/>
      <c r="C830" s="738"/>
      <c r="D830" s="738"/>
      <c r="E830" s="738"/>
      <c r="F830" s="738"/>
      <c r="G830" s="738"/>
    </row>
    <row r="831" spans="1:44">
      <c r="A831" s="1037"/>
      <c r="B831" s="738"/>
      <c r="C831" s="738"/>
      <c r="D831" s="738"/>
      <c r="E831" s="738"/>
      <c r="F831" s="738"/>
      <c r="G831" s="738"/>
    </row>
    <row r="832" spans="1:44">
      <c r="A832" s="1037"/>
      <c r="B832" s="738"/>
      <c r="C832" s="738"/>
      <c r="D832" s="738"/>
      <c r="E832" s="738"/>
      <c r="F832" s="738"/>
      <c r="G832" s="738"/>
    </row>
    <row r="833" spans="1:7">
      <c r="A833" s="1037"/>
      <c r="B833" s="738"/>
      <c r="C833" s="738"/>
      <c r="D833" s="738"/>
      <c r="E833" s="738"/>
      <c r="F833" s="738"/>
      <c r="G833" s="738"/>
    </row>
    <row r="834" spans="1:7">
      <c r="A834" s="1037"/>
      <c r="B834" s="738"/>
      <c r="C834" s="738"/>
      <c r="D834" s="738"/>
      <c r="E834" s="738"/>
      <c r="F834" s="738"/>
      <c r="G834" s="738"/>
    </row>
    <row r="835" spans="1:7">
      <c r="A835" s="1037"/>
      <c r="B835" s="738"/>
      <c r="C835" s="738"/>
      <c r="D835" s="738"/>
      <c r="E835" s="738"/>
      <c r="F835" s="738"/>
      <c r="G835" s="738"/>
    </row>
    <row r="836" spans="1:7">
      <c r="A836" s="1037"/>
      <c r="B836" s="738"/>
      <c r="C836" s="738"/>
      <c r="D836" s="738"/>
      <c r="E836" s="738"/>
      <c r="F836" s="738"/>
      <c r="G836" s="738"/>
    </row>
    <row r="837" spans="1:7">
      <c r="A837" s="1037"/>
    </row>
    <row r="838" spans="1:7">
      <c r="A838" s="1037"/>
    </row>
    <row r="839" spans="1:7">
      <c r="A839" s="1037"/>
    </row>
    <row r="840" spans="1:7">
      <c r="A840" s="1037"/>
    </row>
  </sheetData>
  <sheetProtection insertColumns="0" insertRows="0" selectLockedCells="1" selectUnlockedCells="1"/>
  <mergeCells count="108">
    <mergeCell ref="A609:A617"/>
    <mergeCell ref="A619:A629"/>
    <mergeCell ref="A630:A634"/>
    <mergeCell ref="A637:A646"/>
    <mergeCell ref="A649:A657"/>
    <mergeCell ref="A561:A570"/>
    <mergeCell ref="A550:A559"/>
    <mergeCell ref="A543:A547"/>
    <mergeCell ref="A531:A542"/>
    <mergeCell ref="A520:A529"/>
    <mergeCell ref="A583:A585"/>
    <mergeCell ref="A586:A587"/>
    <mergeCell ref="A589:A591"/>
    <mergeCell ref="A593:A607"/>
    <mergeCell ref="A495:A497"/>
    <mergeCell ref="A498:A499"/>
    <mergeCell ref="A501:A503"/>
    <mergeCell ref="A505:A518"/>
    <mergeCell ref="A473:A482"/>
    <mergeCell ref="A461:A471"/>
    <mergeCell ref="A455:A459"/>
    <mergeCell ref="A442:A454"/>
    <mergeCell ref="A431:A440"/>
    <mergeCell ref="A417:A430"/>
    <mergeCell ref="A366:A370"/>
    <mergeCell ref="A354:A365"/>
    <mergeCell ref="A372:A382"/>
    <mergeCell ref="A384:A393"/>
    <mergeCell ref="A395:A396"/>
    <mergeCell ref="A407:A409"/>
    <mergeCell ref="A410:A411"/>
    <mergeCell ref="A413:A415"/>
    <mergeCell ref="A302:A303"/>
    <mergeCell ref="A313:A314"/>
    <mergeCell ref="A316:A318"/>
    <mergeCell ref="A319:A320"/>
    <mergeCell ref="A322:A324"/>
    <mergeCell ref="A326:A341"/>
    <mergeCell ref="A343:A352"/>
    <mergeCell ref="A230:A232"/>
    <mergeCell ref="A234:A246"/>
    <mergeCell ref="A248:A256"/>
    <mergeCell ref="A258:A267"/>
    <mergeCell ref="A269:A272"/>
    <mergeCell ref="A274:A284"/>
    <mergeCell ref="A286:A295"/>
    <mergeCell ref="A160:A173"/>
    <mergeCell ref="A175:A178"/>
    <mergeCell ref="A180:A190"/>
    <mergeCell ref="A192:A201"/>
    <mergeCell ref="A209:A210"/>
    <mergeCell ref="A221:A223"/>
    <mergeCell ref="A224:A225"/>
    <mergeCell ref="A227:A229"/>
    <mergeCell ref="A98:A106"/>
    <mergeCell ref="A116:A117"/>
    <mergeCell ref="A124:A126"/>
    <mergeCell ref="A127:A128"/>
    <mergeCell ref="A130:A132"/>
    <mergeCell ref="A133:A148"/>
    <mergeCell ref="A150:A158"/>
    <mergeCell ref="A22:A23"/>
    <mergeCell ref="A10:A13"/>
    <mergeCell ref="A32:A34"/>
    <mergeCell ref="A35:A36"/>
    <mergeCell ref="A38:A40"/>
    <mergeCell ref="A42:A54"/>
    <mergeCell ref="A56:A64"/>
    <mergeCell ref="A66:A78"/>
    <mergeCell ref="A86:A95"/>
    <mergeCell ref="A80:A83"/>
    <mergeCell ref="B2:C2"/>
    <mergeCell ref="B6:C6"/>
    <mergeCell ref="B647:D647"/>
    <mergeCell ref="B273:D273"/>
    <mergeCell ref="B285:D285"/>
    <mergeCell ref="B560:D560"/>
    <mergeCell ref="B635:D635"/>
    <mergeCell ref="B572:D572"/>
    <mergeCell ref="B11:D11"/>
    <mergeCell ref="B298:D298"/>
    <mergeCell ref="B301:C301"/>
    <mergeCell ref="B108:D108"/>
    <mergeCell ref="B371:D371"/>
    <mergeCell ref="B383:D383"/>
    <mergeCell ref="B179:D179"/>
    <mergeCell ref="B191:D191"/>
    <mergeCell ref="B84:D84"/>
    <mergeCell ref="B96:D96"/>
    <mergeCell ref="B460:D460"/>
    <mergeCell ref="B472:D472"/>
    <mergeCell ref="B548:D548"/>
    <mergeCell ref="B204:D204"/>
    <mergeCell ref="B484:D484"/>
    <mergeCell ref="I472:K472"/>
    <mergeCell ref="R84:T84"/>
    <mergeCell ref="R96:T96"/>
    <mergeCell ref="AH84:AJ84"/>
    <mergeCell ref="AH96:AJ96"/>
    <mergeCell ref="B9:D9"/>
    <mergeCell ref="B302:C302"/>
    <mergeCell ref="B303:C303"/>
    <mergeCell ref="B396:D396"/>
    <mergeCell ref="I460:K460"/>
    <mergeCell ref="R11:T11"/>
    <mergeCell ref="AH11:AJ11"/>
    <mergeCell ref="I396:K396"/>
    <mergeCell ref="N396:P396"/>
  </mergeCells>
  <dataValidations count="12">
    <dataValidation type="list" allowBlank="1" showInputMessage="1" showErrorMessage="1" sqref="D571 C26 S26 AI26" xr:uid="{2A83422A-544D-490B-8E30-60C748AF93DF}">
      <formula1>#REF!</formula1>
    </dataValidation>
    <dataValidation allowBlank="1" showInputMessage="1" showErrorMessage="1" prompt="Aastaloom on arvestuslik ühik, mis arvutatakse, jagades käsitletava loomaloomaliigi isendi söötmispäevade summa päevade arvuga aastas._x000a_Söötmispäevaks loetakse kõik päevad, mil loom on karjas, välja arvatud tema karjast väljaviimise päev." sqref="AH14 R14" xr:uid="{303F4624-9F37-4EE9-8C65-DBBE64F3E5BC}"/>
    <dataValidation allowBlank="1" showInputMessage="1" showErrorMessage="1" prompt="Palun märkige siia loomarühmade kaupa eraldi peamine sõnnikutüüp." sqref="AH15 R15" xr:uid="{1D864DEF-3471-4F9C-8C9D-D19072BE63BF}"/>
    <dataValidation allowBlank="1" showInputMessage="1" showErrorMessage="1" prompt="Sõnnikuhoidla tüüp palun valida ripmmenüüst. Rippmenüü avaneb lahtrile klikkides noolele vajutades. " sqref="AH16 R16" xr:uid="{CC42C691-DDEF-470C-BD4A-E9380FF9C1EA}"/>
    <dataValidation allowBlank="1" showInputMessage="1" showErrorMessage="1" prompt="Siit valida loomapidamisviis veistele toodangu- ja vanuserühmade kaupa." sqref="AH17 R17" xr:uid="{C9B26386-CC92-44F7-9777-87EE363C0249}"/>
    <dataValidation allowBlank="1" showInputMessage="1" showErrorMessage="1" prompt="Loomade kehamassi kasv aasta jooksul kõigiloomade peale kokku liidetuna (välja arvatud vasikate mass sündimise hetkel)." sqref="AH18 R18" xr:uid="{5AB5E327-6B26-42B5-83B1-41EE4F5ABC37}"/>
    <dataValidation allowBlank="1" showInputMessage="1" showErrorMessage="1" prompt="Vasikate mass sündimise hetkel, kokku liidetuna kõikide vasikate peale aastas kokku." sqref="AH19 R19" xr:uid="{723E0AF6-6DDB-4D8D-844D-49E3848EC417}"/>
    <dataValidation allowBlank="1" showInputMessage="1" showErrorMessage="1" prompt="Siia palun lisa aastas veiste poolt tarbitud põhisööda kogus kokku." sqref="AH20 R20" xr:uid="{2F102B24-345C-42C4-B0BA-0FE26E58C4E2}"/>
    <dataValidation allowBlank="1" showInputMessage="1" showErrorMessage="1" prompt="Keemilise analüüsiga määratud lämmastikusisaldus loomasöödas." sqref="AH21 R21" xr:uid="{59C7E8B8-8573-4CF7-BA73-9EE70B573A86}"/>
    <dataValidation allowBlank="1" showInputMessage="1" showErrorMessage="1" prompt="Seda täita vaid juhul kui loomi karjatati. " sqref="AH22 R22" xr:uid="{098CF609-7CFC-4565-885C-05572204287D}"/>
    <dataValidation allowBlank="1" showInputMessage="1" showErrorMessage="1" prompt="Lisa siia aasta jooksul toodetud toorpiima mass kilogrammides. " sqref="AH24 R24" xr:uid="{74F965ED-E48D-4288-B5D7-7AF603F35C95}"/>
    <dataValidation allowBlank="1" showInputMessage="1" showErrorMessage="1" prompt="Palun lisa siia keskmine lämmastikusisaldus piimas, pööra tähelepanu ühikule!" sqref="R26 B26 AH26" xr:uid="{C005EFBF-3DF0-4BCA-B4F7-C52DF9AFCFAF}"/>
  </dataValidations>
  <hyperlinks>
    <hyperlink ref="C3" location="Loomakasvatus!B148" display="Broiler" xr:uid="{6734A386-B137-4C7E-9856-589383AF6160}"/>
    <hyperlink ref="B6" location="Loomakasvatus!B500" display="Kalkun" xr:uid="{E440ECC7-8621-4581-B024-B8E3D6D8E7F0}"/>
    <hyperlink ref="C5" location="Loomakasvatus!B672" display="Part" xr:uid="{A9908ABD-1FF8-4949-9E21-83BF9C24B1A1}"/>
    <hyperlink ref="B5" location="Loomakasvatus!B549" display="Lammas" xr:uid="{D29900CA-5945-43F5-8FD4-684109988E0C}"/>
    <hyperlink ref="C4" location="Loomakasvatus!B421" display="Veised" xr:uid="{EE0F61C7-30F9-4BD2-8826-E56A0514E9DE}"/>
    <hyperlink ref="B4" location="Loomakasvatus!B282" display="Siga" xr:uid="{A8B0B224-87B5-4BBB-BE2A-824334848869}"/>
    <hyperlink ref="B6:C6" location="Loomakasvatus!B796" display="Kalkun" xr:uid="{46F522AD-45CA-438E-ACF3-8D216DF1C47F}"/>
    <hyperlink ref="B3" location="Loomakasvatus!B11" display="Veised" xr:uid="{D0A089CA-3A21-4CDE-879B-85CC545084E6}"/>
  </hyperlink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11" id="{16AD926B-2F97-44B8-951F-651350446373}">
            <xm:f>Ettev_kalk!BS67=0</xm:f>
            <x14:dxf>
              <fill>
                <patternFill>
                  <bgColor rgb="FFFF0000"/>
                </patternFill>
              </fill>
            </x14:dxf>
          </x14:cfRule>
          <xm:sqref>D42:D54</xm:sqref>
        </x14:conditionalFormatting>
        <x14:conditionalFormatting xmlns:xm="http://schemas.microsoft.com/office/excel/2006/main">
          <x14:cfRule type="expression" priority="12" id="{2732A28D-0839-43CF-872B-733A1428ECE7}">
            <xm:f>Ettev_kalk!BS13=0</xm:f>
            <x14:dxf>
              <fill>
                <patternFill>
                  <bgColor rgb="FFFF0000"/>
                </patternFill>
              </fill>
            </x14:dxf>
          </x14:cfRule>
          <xm:sqref>D134:D145</xm:sqref>
        </x14:conditionalFormatting>
        <x14:conditionalFormatting xmlns:xm="http://schemas.microsoft.com/office/excel/2006/main">
          <x14:cfRule type="expression" priority="63" id="{2732A28D-0839-43CF-872B-733A1428ECE7}">
            <xm:f>Ettev_kalk!BS24=0</xm:f>
            <x14:dxf>
              <fill>
                <patternFill>
                  <bgColor rgb="FFFF0000"/>
                </patternFill>
              </fill>
            </x14:dxf>
          </x14:cfRule>
          <xm:sqref>D146</xm:sqref>
        </x14:conditionalFormatting>
        <x14:conditionalFormatting xmlns:xm="http://schemas.microsoft.com/office/excel/2006/main">
          <x14:cfRule type="expression" priority="59" id="{2732A28D-0839-43CF-872B-733A1428ECE7}">
            <xm:f>Ettev_kalk!BS24=0</xm:f>
            <x14:dxf>
              <fill>
                <patternFill>
                  <bgColor rgb="FFFF0000"/>
                </patternFill>
              </fill>
            </x14:dxf>
          </x14:cfRule>
          <xm:sqref>D147</xm:sqref>
        </x14:conditionalFormatting>
        <x14:conditionalFormatting xmlns:xm="http://schemas.microsoft.com/office/excel/2006/main">
          <x14:cfRule type="expression" priority="55" id="{2732A28D-0839-43CF-872B-733A1428ECE7}">
            <xm:f>Ettev_kalk!BS24=0</xm:f>
            <x14:dxf>
              <fill>
                <patternFill>
                  <bgColor rgb="FFFF0000"/>
                </patternFill>
              </fill>
            </x14:dxf>
          </x14:cfRule>
          <xm:sqref>D148</xm:sqref>
        </x14:conditionalFormatting>
        <x14:conditionalFormatting xmlns:xm="http://schemas.microsoft.com/office/excel/2006/main">
          <x14:cfRule type="expression" priority="14" id="{610CB6D2-85FB-400E-AE24-A5D9BA500372}">
            <xm:f>Ettev_kalk!BK13=0</xm:f>
            <x14:dxf>
              <fill>
                <patternFill>
                  <bgColor rgb="FFFF0000"/>
                </patternFill>
              </fill>
            </x14:dxf>
          </x14:cfRule>
          <xm:sqref>D234:D246</xm:sqref>
        </x14:conditionalFormatting>
        <x14:conditionalFormatting xmlns:xm="http://schemas.microsoft.com/office/excel/2006/main">
          <x14:cfRule type="expression" priority="13" id="{DF84F06B-3271-4096-BC63-BE05EEBF8A2B}">
            <xm:f>Ettev_kalk!BK57=0</xm:f>
            <x14:dxf>
              <fill>
                <patternFill>
                  <bgColor rgb="FFFF0000"/>
                </patternFill>
              </fill>
            </x14:dxf>
          </x14:cfRule>
          <xm:sqref>D326:D336</xm:sqref>
        </x14:conditionalFormatting>
        <x14:conditionalFormatting xmlns:xm="http://schemas.microsoft.com/office/excel/2006/main">
          <x14:cfRule type="expression" priority="51" id="{DF84F06B-3271-4096-BC63-BE05EEBF8A2B}">
            <xm:f>Ettev_kalk!BK67=0</xm:f>
            <x14:dxf>
              <fill>
                <patternFill>
                  <bgColor rgb="FFFF0000"/>
                </patternFill>
              </fill>
            </x14:dxf>
          </x14:cfRule>
          <xm:sqref>D337</xm:sqref>
        </x14:conditionalFormatting>
        <x14:conditionalFormatting xmlns:xm="http://schemas.microsoft.com/office/excel/2006/main">
          <x14:cfRule type="expression" priority="48" id="{DF84F06B-3271-4096-BC63-BE05EEBF8A2B}">
            <xm:f>Ettev_kalk!BK67=0</xm:f>
            <x14:dxf>
              <fill>
                <patternFill>
                  <bgColor rgb="FFFF0000"/>
                </patternFill>
              </fill>
            </x14:dxf>
          </x14:cfRule>
          <xm:sqref>D338:D339</xm:sqref>
        </x14:conditionalFormatting>
        <x14:conditionalFormatting xmlns:xm="http://schemas.microsoft.com/office/excel/2006/main">
          <x14:cfRule type="expression" priority="124" id="{DF84F06B-3271-4096-BC63-BE05EEBF8A2B}">
            <xm:f>Ettev_kalk!BK68=0</xm:f>
            <x14:dxf>
              <fill>
                <patternFill>
                  <bgColor rgb="FFFF0000"/>
                </patternFill>
              </fill>
            </x14:dxf>
          </x14:cfRule>
          <xm:sqref>D340</xm:sqref>
        </x14:conditionalFormatting>
        <x14:conditionalFormatting xmlns:xm="http://schemas.microsoft.com/office/excel/2006/main">
          <x14:cfRule type="expression" priority="45" id="{DF84F06B-3271-4096-BC63-BE05EEBF8A2B}">
            <xm:f>Ettev_kalk!BK67=0</xm:f>
            <x14:dxf>
              <fill>
                <patternFill>
                  <bgColor rgb="FFFF0000"/>
                </patternFill>
              </fill>
            </x14:dxf>
          </x14:cfRule>
          <xm:sqref>D341</xm:sqref>
        </x14:conditionalFormatting>
        <x14:conditionalFormatting xmlns:xm="http://schemas.microsoft.com/office/excel/2006/main">
          <x14:cfRule type="expression" priority="142" id="{6F100428-2F41-4B63-B5B1-FDC6925556E5}">
            <xm:f>Tootep_kalk!I264=0</xm:f>
            <x14:dxf>
              <fill>
                <patternFill>
                  <bgColor rgb="FFFF0000"/>
                </patternFill>
              </fill>
            </x14:dxf>
          </x14:cfRule>
          <xm:sqref>D417:D430</xm:sqref>
        </x14:conditionalFormatting>
        <x14:conditionalFormatting xmlns:xm="http://schemas.microsoft.com/office/excel/2006/main">
          <x14:cfRule type="expression" priority="9" id="{8A4CE339-9C56-4704-A3CF-2E3FFD54ECEF}">
            <xm:f>Ettev_kalk!BZ64=0</xm:f>
            <x14:dxf>
              <fill>
                <patternFill>
                  <bgColor rgb="FFFF0000"/>
                </patternFill>
              </fill>
            </x14:dxf>
          </x14:cfRule>
          <xm:sqref>D505:D518</xm:sqref>
        </x14:conditionalFormatting>
        <x14:conditionalFormatting xmlns:xm="http://schemas.microsoft.com/office/excel/2006/main">
          <x14:cfRule type="expression" priority="102" id="{8A4CE339-9C56-4704-A3CF-2E3FFD54ECEF}">
            <xm:f>Ettev_kalk!BZ74=0</xm:f>
            <x14:dxf>
              <fill>
                <patternFill>
                  <bgColor rgb="FFFF0000"/>
                </patternFill>
              </fill>
            </x14:dxf>
          </x14:cfRule>
          <xm:sqref>D516</xm:sqref>
        </x14:conditionalFormatting>
        <x14:conditionalFormatting xmlns:xm="http://schemas.microsoft.com/office/excel/2006/main">
          <x14:cfRule type="expression" priority="95" id="{8A4CE339-9C56-4704-A3CF-2E3FFD54ECEF}">
            <xm:f>Ettev_kalk!BZ74=0</xm:f>
            <x14:dxf>
              <fill>
                <patternFill>
                  <bgColor rgb="FFFF0000"/>
                </patternFill>
              </fill>
            </x14:dxf>
          </x14:cfRule>
          <xm:sqref>D517</xm:sqref>
        </x14:conditionalFormatting>
        <x14:conditionalFormatting xmlns:xm="http://schemas.microsoft.com/office/excel/2006/main">
          <x14:cfRule type="expression" priority="88" id="{8A4CE339-9C56-4704-A3CF-2E3FFD54ECEF}">
            <xm:f>Ettev_kalk!BZ74=0</xm:f>
            <x14:dxf>
              <fill>
                <patternFill>
                  <bgColor rgb="FFFF0000"/>
                </patternFill>
              </fill>
            </x14:dxf>
          </x14:cfRule>
          <xm:sqref>D518</xm:sqref>
        </x14:conditionalFormatting>
        <x14:conditionalFormatting xmlns:xm="http://schemas.microsoft.com/office/excel/2006/main">
          <x14:cfRule type="expression" priority="7" id="{ADD6A185-3011-4B2F-A76F-36EFD3FE31AA}">
            <xm:f>Ettev_kalk!CG13=0</xm:f>
            <x14:dxf>
              <fill>
                <patternFill>
                  <bgColor rgb="FFFF0000"/>
                </patternFill>
              </fill>
            </x14:dxf>
          </x14:cfRule>
          <xm:sqref>D593:D598</xm:sqref>
        </x14:conditionalFormatting>
        <x14:conditionalFormatting xmlns:xm="http://schemas.microsoft.com/office/excel/2006/main">
          <x14:cfRule type="expression" priority="33" id="{ADD6A185-3011-4B2F-A76F-36EFD3FE31AA}">
            <xm:f>Ettev_kalk!CG18=0</xm:f>
            <x14:dxf>
              <fill>
                <patternFill>
                  <bgColor rgb="FFFF0000"/>
                </patternFill>
              </fill>
            </x14:dxf>
          </x14:cfRule>
          <xm:sqref>D599</xm:sqref>
        </x14:conditionalFormatting>
        <x14:conditionalFormatting xmlns:xm="http://schemas.microsoft.com/office/excel/2006/main">
          <x14:cfRule type="expression" priority="25" id="{ADD6A185-3011-4B2F-A76F-36EFD3FE31AA}">
            <xm:f>Ettev_kalk!CG18=0</xm:f>
            <x14:dxf>
              <fill>
                <patternFill>
                  <bgColor rgb="FFFF0000"/>
                </patternFill>
              </fill>
            </x14:dxf>
          </x14:cfRule>
          <xm:sqref>D600:D602</xm:sqref>
        </x14:conditionalFormatting>
        <x14:conditionalFormatting xmlns:xm="http://schemas.microsoft.com/office/excel/2006/main">
          <x14:cfRule type="expression" priority="120" id="{ADD6A185-3011-4B2F-A76F-36EFD3FE31AA}">
            <xm:f>Ettev_kalk!CG20=0</xm:f>
            <x14:dxf>
              <fill>
                <patternFill>
                  <bgColor rgb="FFFF0000"/>
                </patternFill>
              </fill>
            </x14:dxf>
          </x14:cfRule>
          <xm:sqref>D603</xm:sqref>
        </x14:conditionalFormatting>
        <x14:conditionalFormatting xmlns:xm="http://schemas.microsoft.com/office/excel/2006/main">
          <x14:cfRule type="expression" priority="111" id="{ADD6A185-3011-4B2F-A76F-36EFD3FE31AA}">
            <xm:f>Ettev_kalk!CG20=0</xm:f>
            <x14:dxf>
              <fill>
                <patternFill>
                  <bgColor rgb="FFFF0000"/>
                </patternFill>
              </fill>
            </x14:dxf>
          </x14:cfRule>
          <xm:sqref>D604</xm:sqref>
        </x14:conditionalFormatting>
        <x14:conditionalFormatting xmlns:xm="http://schemas.microsoft.com/office/excel/2006/main">
          <x14:cfRule type="expression" priority="42" id="{ADD6A185-3011-4B2F-A76F-36EFD3FE31AA}">
            <xm:f>Ettev_kalk!CG19=0</xm:f>
            <x14:dxf>
              <fill>
                <patternFill>
                  <bgColor rgb="FFFF0000"/>
                </patternFill>
              </fill>
            </x14:dxf>
          </x14:cfRule>
          <xm:sqref>D605:D607</xm:sqref>
        </x14:conditionalFormatting>
        <x14:conditionalFormatting xmlns:xm="http://schemas.microsoft.com/office/excel/2006/main">
          <x14:cfRule type="expression" priority="1" id="{9DE53B07-783C-47E5-B5CB-59319EFB334B}">
            <xm:f>Tootep_kalk!U264=0</xm:f>
            <x14:dxf>
              <fill>
                <patternFill>
                  <bgColor rgb="FFFF0000"/>
                </patternFill>
              </fill>
            </x14:dxf>
          </x14:cfRule>
          <xm:sqref>K417:K430</xm:sqref>
        </x14:conditionalFormatting>
        <x14:conditionalFormatting xmlns:xm="http://schemas.microsoft.com/office/excel/2006/main">
          <x14:cfRule type="expression" priority="10" id="{6F100428-2F41-4B63-B5B1-FDC6925556E5}">
            <xm:f>Tootep_kalk!AH264=0</xm:f>
            <x14:dxf>
              <fill>
                <patternFill>
                  <bgColor rgb="FFFF0000"/>
                </patternFill>
              </fill>
            </x14:dxf>
          </x14:cfRule>
          <xm:sqref>P417:P430</xm:sqref>
        </x14:conditionalFormatting>
        <x14:conditionalFormatting xmlns:xm="http://schemas.microsoft.com/office/excel/2006/main">
          <x14:cfRule type="expression" priority="2" id="{A681B6D3-52DB-43C8-8734-6E979AB6DF16}">
            <xm:f>Tootep_kalk!AU182=0</xm:f>
            <x14:dxf>
              <fill>
                <patternFill>
                  <bgColor rgb="FFFF0000"/>
                </patternFill>
              </fill>
            </x14:dxf>
          </x14:cfRule>
          <xm:sqref>T42:T54</xm:sqref>
        </x14:conditionalFormatting>
        <x14:conditionalFormatting xmlns:xm="http://schemas.microsoft.com/office/excel/2006/main">
          <x14:cfRule type="expression" priority="145" id="{16AD926B-2F97-44B8-951F-651350446373}">
            <xm:f>Tootep_kalk!BT182=0</xm:f>
            <x14:dxf>
              <fill>
                <patternFill>
                  <bgColor rgb="FFFF0000"/>
                </patternFill>
              </fill>
            </x14:dxf>
          </x14:cfRule>
          <xm:sqref>AJ42:AJ54</xm:sqref>
        </x14:conditionalFormatting>
      </x14:conditionalFormattings>
    </ext>
    <ext xmlns:x14="http://schemas.microsoft.com/office/spreadsheetml/2009/9/main" uri="{CCE6A557-97BC-4b89-ADB6-D9C93CAAB3DF}">
      <x14:dataValidations xmlns:xm="http://schemas.microsoft.com/office/excel/2006/main" count="27">
        <x14:dataValidation type="list" showErrorMessage="1" promptTitle="Pidamisviis" prompt="Vali pidamisviis toodangu- ja vanuserühmade kaupa" xr:uid="{4210281A-6D5A-4614-A228-6A26B4419ECC}">
          <x14:formula1>
            <xm:f>'M1 - LK'!$Y$223:$Y$232</xm:f>
          </x14:formula1>
          <xm:sqref>C207</xm:sqref>
        </x14:dataValidation>
        <x14:dataValidation type="list" allowBlank="1" showInputMessage="1" showErrorMessage="1" xr:uid="{96BE937E-A845-43F0-B083-669CF14E2728}">
          <x14:formula1>
            <xm:f>'M1 - LK'!$K$251:$K$257</xm:f>
          </x14:formula1>
          <xm:sqref>D315 C16:N16 S16:AD16 AI16:AT16 C214:D214 C118:E118</xm:sqref>
        </x14:dataValidation>
        <x14:dataValidation type="list" allowBlank="1" showInputMessage="1" showErrorMessage="1" xr:uid="{31A466AC-6905-417C-A7A6-5A8CEB7615FD}">
          <x14:formula1>
            <xm:f>EFid!$A$415:$A$427</xm:f>
          </x14:formula1>
          <xm:sqref>S86:S95 O462:O471 J462:J471 AI86:AI95</xm:sqref>
        </x14:dataValidation>
        <x14:dataValidation type="list" allowBlank="1" showInputMessage="1" showErrorMessage="1" xr:uid="{11133E88-BD2D-476E-B709-EC33173C4823}">
          <x14:formula1>
            <xm:f>EFid!$A$29:$A$31</xm:f>
          </x14:formula1>
          <xm:sqref>C498:C499 C319:C320 C224:C225 C127:C128 C35:C36 C410:C411 C586:C587 S35:S36 AI35:AI36 J410:J411 O410:O411</xm:sqref>
        </x14:dataValidation>
        <x14:dataValidation type="list" allowBlank="1" showInputMessage="1" showErrorMessage="1" xr:uid="{28643574-046E-41F1-9D1F-A6D9F310909C}">
          <x14:formula1>
            <xm:f>'M1 - LK'!$L$223:$L$230</xm:f>
          </x14:formula1>
          <xm:sqref>C17:J17 M17:N17 S17:Z17 AC17:AD17 AI17:AP17 AS17:AT17</xm:sqref>
        </x14:dataValidation>
        <x14:dataValidation type="list" allowBlank="1" showInputMessage="1" showErrorMessage="1" xr:uid="{8959B40E-8A01-4DF6-A78D-B8A7E3B571B0}">
          <x14:formula1>
            <xm:f>'M1 - LK'!$L$231:$L$232</xm:f>
          </x14:formula1>
          <xm:sqref>K17:L17 AA17:AB17 AQ17:AR17</xm:sqref>
        </x14:dataValidation>
        <x14:dataValidation type="list" allowBlank="1" showInputMessage="1" showErrorMessage="1" xr:uid="{CB5F40D3-1506-42D4-ACCE-AFB33646295D}">
          <x14:formula1>
            <xm:f>'M1 - LK'!$P$115:$P$117</xm:f>
          </x14:formula1>
          <xm:sqref>D491 D579</xm:sqref>
        </x14:dataValidation>
        <x14:dataValidation type="list" allowBlank="1" showInputMessage="1" showErrorMessage="1" xr:uid="{BC06FC9D-0F67-4A65-964A-95470E2F3044}">
          <x14:formula1>
            <xm:f>EFid!$A$243:$A$250</xm:f>
          </x14:formula1>
          <xm:sqref>C562:C570 C474:C482 C98:C106 C193:C201 C385:C393 C287:C295 C649:C657 S98:S106 AI98:AI106 J474:J482 O474:O482</xm:sqref>
        </x14:dataValidation>
        <x14:dataValidation type="list" allowBlank="1" showInputMessage="1" showErrorMessage="1" xr:uid="{4D064EC6-D91A-4EFD-91C7-D147ED89C56F}">
          <x14:formula1>
            <xm:f>'M1 - LK'!$R$14:$T$14</xm:f>
          </x14:formula1>
          <xm:sqref>P402 D402 K402</xm:sqref>
        </x14:dataValidation>
        <x14:dataValidation type="list" allowBlank="1" showInputMessage="1" showErrorMessage="1" xr:uid="{9E574C17-D1B6-41B5-A728-55642508FCD4}">
          <x14:formula1>
            <xm:f>'M1 - LK'!$Y$235:$Y$237</xm:f>
          </x14:formula1>
          <xm:sqref>D207</xm:sqref>
        </x14:dataValidation>
        <x14:dataValidation type="list" allowBlank="1" showInputMessage="1" showErrorMessage="1" xr:uid="{F5856416-9835-4970-A611-75DA38785FF6}">
          <x14:formula1>
            <xm:f>'M1 - LK'!$Y$233:$Y$234</xm:f>
          </x14:formula1>
          <xm:sqref>B303:C303</xm:sqref>
        </x14:dataValidation>
        <x14:dataValidation type="list" allowBlank="1" showInputMessage="1" showErrorMessage="1" xr:uid="{5BE41E0F-84D7-4142-B2CA-5FA2E5B782CB}">
          <x14:formula1>
            <xm:f>'M1 - LK'!$A$302:$A$369</xm:f>
          </x14:formula1>
          <xm:sqref>C234:C246 C326:C341 C134:C148 O417:O430 C417:C430 C505:C518 C593:C607 S42:S45 AI42:AI45 J417:J430 C42:C54</xm:sqref>
        </x14:dataValidation>
        <x14:dataValidation type="list" allowBlank="1" showInputMessage="1" showErrorMessage="1" xr:uid="{611B4211-65B8-4CBF-A487-8952CD214474}">
          <x14:formula1>
            <xm:f>EFid!$A$50:$A$73</xm:f>
          </x14:formula1>
          <xm:sqref>C589:C591 O413:O415 J413:J415 AI38:AI40 S38:S40 C38:C40 C501:C503 C413:C415 C227:C229 C130:C132 C322:C324</xm:sqref>
        </x14:dataValidation>
        <x14:dataValidation type="list" allowBlank="1" showInputMessage="1" showErrorMessage="1" xr:uid="{9E11D191-F3E8-49FD-B814-1008665F7BAC}">
          <x14:formula1>
            <xm:f>'M1 - LK'!$O$39:$O$52</xm:f>
          </x14:formula1>
          <xm:sqref>D403 K403 P403</xm:sqref>
        </x14:dataValidation>
        <x14:dataValidation type="list" allowBlank="1" showInputMessage="1" showErrorMessage="1" xr:uid="{02ACDB87-F35E-410B-9C27-BCDE696E2007}">
          <x14:formula1>
            <xm:f>EFid!$A$3:$A$25</xm:f>
          </x14:formula1>
          <xm:sqref>C407:C409 C221:C223 C316:C318 C32:C34 C124:C126 C495:C497 C583:C585 S32:S34 AI32:AI34 J407:J409 O407:O409</xm:sqref>
        </x14:dataValidation>
        <x14:dataValidation type="list" allowBlank="1" showInputMessage="1" showErrorMessage="1" xr:uid="{6EAFA7B1-05E3-4889-83A6-C8CEF2347791}">
          <x14:formula1>
            <xm:f>EFid!$A$415:$A$428</xm:f>
          </x14:formula1>
          <xm:sqref>C275:C284 C86:C95 C373:C382 C181:C190 C462:C471 C550:C559 C637:C646</xm:sqref>
        </x14:dataValidation>
        <x14:dataValidation type="list" allowBlank="1" showInputMessage="1" showErrorMessage="1" xr:uid="{1B754DB8-DC12-4627-B163-1293D56DCBC1}">
          <x14:formula1>
            <xm:f>EFid!$A$432:$A$501</xm:f>
          </x14:formula1>
          <xm:sqref>L442:L454 E66:E78 U66:U78 AK66:AK78 E258:E267 E354:E365 E160:E173 Q442:Q454 E531:E542 E442:E454 E619:E629</xm:sqref>
        </x14:dataValidation>
        <x14:dataValidation type="list" allowBlank="1" showInputMessage="1" showErrorMessage="1" xr:uid="{7666F9EC-43E2-49A3-AAB1-6D7C39765705}">
          <x14:formula1>
            <xm:f>'M1 - LK'!$U$223:$U$234</xm:f>
          </x14:formula1>
          <xm:sqref>C111</xm:sqref>
        </x14:dataValidation>
        <x14:dataValidation type="list" allowBlank="1" showInputMessage="1" showErrorMessage="1" xr:uid="{F4ED3667-4668-4A3B-B5DD-68C632A5AE86}">
          <x14:formula1>
            <xm:f>'M1 - LK'!$U$235:$U$245</xm:f>
          </x14:formula1>
          <xm:sqref>D111</xm:sqref>
        </x14:dataValidation>
        <x14:dataValidation type="list" allowBlank="1" showInputMessage="1" showErrorMessage="1" xr:uid="{5B914DB9-A1A0-426D-95E5-27CBF91884C5}">
          <x14:formula1>
            <xm:f>'M1 - LK'!$U$246:$U$260</xm:f>
          </x14:formula1>
          <xm:sqref>E111</xm:sqref>
        </x14:dataValidation>
        <x14:dataValidation type="list" allowBlank="1" showInputMessage="1" showErrorMessage="1" xr:uid="{8585DA72-901B-4434-B44D-109B073B8FF0}">
          <x14:formula1>
            <xm:f>Ettev_kalk!$CK$55:$CK$82</xm:f>
          </x14:formula1>
          <xm:sqref>C56:C64 C248:C256 C343:C352 C150:C158 C432:C440 C520:C529 C609:C617 S56:S64 AI56:AI64 J432:J440 O432:O440</xm:sqref>
        </x14:dataValidation>
        <x14:dataValidation type="list" allowBlank="1" showInputMessage="1" showErrorMessage="1" xr:uid="{8DA5EA71-D1B5-4C0A-91BF-4F0E95D90537}">
          <x14:formula1>
            <xm:f>'M1 - LK'!$L$261:$L$263</xm:f>
          </x14:formula1>
          <xm:sqref>Z15:AD15 C15:H15 S15:X15 AI15:AN15</xm:sqref>
        </x14:dataValidation>
        <x14:dataValidation type="list" allowBlank="1" showInputMessage="1" showErrorMessage="1" xr:uid="{1B5E147F-E4FE-4E6C-A74B-4968FCBEE5F9}">
          <x14:formula1>
            <xm:f>'M1 - LK'!$L$267:$L$269</xm:f>
          </x14:formula1>
          <xm:sqref>C119:E119</xm:sqref>
        </x14:dataValidation>
        <x14:dataValidation type="list" allowBlank="1" showInputMessage="1" showErrorMessage="1" xr:uid="{A64379DE-1037-4C30-8958-203C788CAB7C}">
          <x14:formula1>
            <xm:f>'M1 - LK'!$L$264:$L$266</xm:f>
          </x14:formula1>
          <xm:sqref>I15:N15 Y15 AO15:AT15</xm:sqref>
        </x14:dataValidation>
        <x14:dataValidation type="list" allowBlank="1" showInputMessage="1" showErrorMessage="1" xr:uid="{663B04EA-0599-4E7A-9091-A9F040A30FE1}">
          <x14:formula1>
            <xm:f>'EFid TK'!$B$6:$B$36</xm:f>
          </x14:formula1>
          <xm:sqref>O442:O454 C619:C629 J442:J454</xm:sqref>
        </x14:dataValidation>
        <x14:dataValidation type="list" allowBlank="1" showInputMessage="1" showErrorMessage="1" xr:uid="{600730C8-4760-4F94-860B-16D54D810392}">
          <x14:formula1>
            <xm:f>'EFid TK'!$B$4:$B$36</xm:f>
          </x14:formula1>
          <xm:sqref>C442:C454 C531:C542 C160:C173 C354:C365 C258:C267 AI66:AI78 S66:S78 C66:C78</xm:sqref>
        </x14:dataValidation>
        <x14:dataValidation type="list" allowBlank="1" showInputMessage="1" showErrorMessage="1" xr:uid="{7E7BED8C-8945-48FD-AE35-D0877FF93A9C}">
          <x14:formula1>
            <xm:f>'M1 - LK'!$B$301:$AC$301</xm:f>
          </x14:formula1>
          <xm:sqref>B42:B54 B134:B148 B234:B246 B326:B341 B417:B430 I417:I430 N417:N430 B505:B518 B593:B607 R42:R54 AH42:AH54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C1C81-889F-4981-9CE3-F7E4D26FE5BC}">
  <sheetPr codeName="Sheet6">
    <tabColor rgb="FF00B050"/>
    <pageSetUpPr autoPageBreaks="0"/>
  </sheetPr>
  <dimension ref="A1:J148"/>
  <sheetViews>
    <sheetView showGridLines="0" zoomScale="70" zoomScaleNormal="70" workbookViewId="0">
      <selection activeCell="H87" sqref="H87"/>
    </sheetView>
  </sheetViews>
  <sheetFormatPr defaultColWidth="8.54296875" defaultRowHeight="14.5"/>
  <cols>
    <col min="2" max="2" width="64.453125" customWidth="1"/>
    <col min="3" max="3" width="37.453125" customWidth="1"/>
    <col min="4" max="4" width="50.54296875" customWidth="1"/>
    <col min="5" max="5" width="33.54296875" customWidth="1"/>
    <col min="6" max="6" width="30.54296875" customWidth="1"/>
    <col min="7" max="7" width="38.54296875" customWidth="1"/>
    <col min="8" max="8" width="61.54296875" customWidth="1"/>
    <col min="9" max="9" width="15.453125" customWidth="1"/>
    <col min="12" max="12" width="17.54296875" customWidth="1"/>
  </cols>
  <sheetData>
    <row r="1" spans="1:8" ht="39" customHeight="1" thickBot="1">
      <c r="A1" s="29"/>
      <c r="B1" s="29"/>
      <c r="C1" s="29"/>
      <c r="D1" s="1209" t="s">
        <v>0</v>
      </c>
      <c r="E1" s="1210"/>
      <c r="F1" s="1211"/>
      <c r="G1" s="29"/>
      <c r="H1" s="29"/>
    </row>
    <row r="2" spans="1:8" ht="27" customHeight="1" thickBot="1">
      <c r="A2" s="29"/>
      <c r="B2" s="1282" t="s">
        <v>363</v>
      </c>
      <c r="C2" s="1283"/>
      <c r="D2" s="1227" t="s">
        <v>2632</v>
      </c>
      <c r="E2" s="1228"/>
      <c r="F2" s="1229"/>
      <c r="G2" s="29"/>
      <c r="H2" s="29"/>
    </row>
    <row r="3" spans="1:8" ht="15" thickBot="1">
      <c r="A3" s="29"/>
      <c r="B3" s="430" t="s">
        <v>364</v>
      </c>
      <c r="C3" s="369" t="s">
        <v>365</v>
      </c>
      <c r="D3" s="419"/>
      <c r="E3" s="418"/>
      <c r="F3" s="396"/>
      <c r="G3" s="29"/>
      <c r="H3" s="29"/>
    </row>
    <row r="4" spans="1:8">
      <c r="A4" s="29"/>
      <c r="B4" s="635" t="s">
        <v>164</v>
      </c>
      <c r="C4" s="62"/>
      <c r="D4" s="1288" t="s">
        <v>366</v>
      </c>
      <c r="E4" s="1289"/>
      <c r="F4" s="1290"/>
      <c r="G4" s="29"/>
      <c r="H4" s="29"/>
    </row>
    <row r="5" spans="1:8">
      <c r="A5" s="29"/>
      <c r="B5" s="636" t="s">
        <v>166</v>
      </c>
      <c r="C5" s="432"/>
      <c r="D5" s="1291"/>
      <c r="E5" s="1292"/>
      <c r="F5" s="1293"/>
      <c r="G5" s="29"/>
      <c r="H5" s="29"/>
    </row>
    <row r="6" spans="1:8">
      <c r="A6" s="29"/>
      <c r="B6" s="637" t="s">
        <v>328</v>
      </c>
      <c r="C6" s="432"/>
      <c r="D6" s="1291"/>
      <c r="E6" s="1292"/>
      <c r="F6" s="1293"/>
      <c r="G6" s="29"/>
      <c r="H6" s="29"/>
    </row>
    <row r="7" spans="1:8" ht="15" thickBot="1">
      <c r="A7" s="29"/>
      <c r="B7" s="636" t="s">
        <v>328</v>
      </c>
      <c r="C7" s="432"/>
      <c r="D7" s="1294"/>
      <c r="E7" s="1295"/>
      <c r="F7" s="1296"/>
      <c r="G7" s="29"/>
      <c r="H7" s="29"/>
    </row>
    <row r="8" spans="1:8" ht="14.15" customHeight="1">
      <c r="A8" s="29"/>
      <c r="B8" s="637"/>
      <c r="C8" s="433"/>
      <c r="D8" s="395"/>
      <c r="E8" s="739"/>
      <c r="F8" s="740"/>
      <c r="G8" s="29"/>
      <c r="H8" s="29"/>
    </row>
    <row r="9" spans="1:8" ht="14.15" customHeight="1" thickBot="1">
      <c r="A9" s="29"/>
      <c r="B9" s="369" t="s">
        <v>367</v>
      </c>
      <c r="C9" s="914" t="s">
        <v>108</v>
      </c>
      <c r="D9" s="395"/>
      <c r="E9" s="739"/>
      <c r="F9" s="740"/>
      <c r="G9" s="29"/>
      <c r="H9" s="29"/>
    </row>
    <row r="10" spans="1:8" ht="14.15" customHeight="1">
      <c r="A10" s="29"/>
      <c r="B10" s="639" t="s">
        <v>147</v>
      </c>
      <c r="C10" s="433"/>
      <c r="D10" s="1288" t="s">
        <v>368</v>
      </c>
      <c r="E10" s="1289"/>
      <c r="F10" s="1290"/>
      <c r="G10" s="29"/>
      <c r="H10" s="29"/>
    </row>
    <row r="11" spans="1:8" ht="14.15" customHeight="1">
      <c r="A11" s="29"/>
      <c r="B11" s="639" t="s">
        <v>369</v>
      </c>
      <c r="C11" s="433"/>
      <c r="D11" s="1291"/>
      <c r="E11" s="1292"/>
      <c r="F11" s="1293"/>
      <c r="G11" s="29"/>
      <c r="H11" s="29"/>
    </row>
    <row r="12" spans="1:8" ht="14.15" customHeight="1">
      <c r="A12" s="29"/>
      <c r="B12" s="639"/>
      <c r="C12" s="433"/>
      <c r="D12" s="1291"/>
      <c r="E12" s="1292"/>
      <c r="F12" s="1293"/>
      <c r="G12" s="29"/>
      <c r="H12" s="29"/>
    </row>
    <row r="13" spans="1:8" ht="14.15" customHeight="1">
      <c r="A13" s="29"/>
      <c r="B13" s="639"/>
      <c r="C13" s="433"/>
      <c r="D13" s="1291"/>
      <c r="E13" s="1292"/>
      <c r="F13" s="1293"/>
      <c r="G13" s="29"/>
      <c r="H13" s="29"/>
    </row>
    <row r="14" spans="1:8" ht="14.15" customHeight="1" thickBot="1">
      <c r="A14" s="29"/>
      <c r="B14" s="639"/>
      <c r="C14" s="433"/>
      <c r="D14" s="1294"/>
      <c r="E14" s="1295"/>
      <c r="F14" s="1296"/>
      <c r="G14" s="29"/>
      <c r="H14" s="29"/>
    </row>
    <row r="15" spans="1:8" ht="15" thickBot="1">
      <c r="A15" s="29"/>
      <c r="B15" s="430" t="s">
        <v>370</v>
      </c>
      <c r="C15" s="369" t="s">
        <v>365</v>
      </c>
      <c r="D15" s="395"/>
      <c r="E15" s="739"/>
      <c r="F15" s="740"/>
      <c r="G15" s="29"/>
      <c r="H15" s="29"/>
    </row>
    <row r="16" spans="1:8">
      <c r="A16" s="29"/>
      <c r="B16" s="635" t="s">
        <v>371</v>
      </c>
      <c r="C16" s="62"/>
      <c r="D16" s="1288" t="s">
        <v>372</v>
      </c>
      <c r="E16" s="1289"/>
      <c r="F16" s="1290"/>
      <c r="G16" s="29"/>
      <c r="H16" s="29"/>
    </row>
    <row r="17" spans="1:8">
      <c r="A17" s="29"/>
      <c r="B17" s="636" t="s">
        <v>373</v>
      </c>
      <c r="C17" s="432"/>
      <c r="D17" s="1291"/>
      <c r="E17" s="1292"/>
      <c r="F17" s="1293"/>
      <c r="G17" s="29"/>
      <c r="H17" s="29"/>
    </row>
    <row r="18" spans="1:8">
      <c r="A18" s="29"/>
      <c r="B18" s="637" t="s">
        <v>374</v>
      </c>
      <c r="C18" s="432"/>
      <c r="D18" s="1291"/>
      <c r="E18" s="1292"/>
      <c r="F18" s="1293"/>
      <c r="G18" s="29"/>
      <c r="H18" s="29"/>
    </row>
    <row r="19" spans="1:8">
      <c r="A19" s="29"/>
      <c r="B19" s="636"/>
      <c r="C19" s="432"/>
      <c r="D19" s="1291"/>
      <c r="E19" s="1292"/>
      <c r="F19" s="1293"/>
      <c r="G19" s="29"/>
      <c r="H19" s="29"/>
    </row>
    <row r="20" spans="1:8" ht="15" thickBot="1">
      <c r="A20" s="29"/>
      <c r="B20" s="637"/>
      <c r="C20" s="432"/>
      <c r="D20" s="1294"/>
      <c r="E20" s="1295"/>
      <c r="F20" s="1296"/>
      <c r="G20" s="29"/>
      <c r="H20" s="29"/>
    </row>
    <row r="21" spans="1:8">
      <c r="A21" s="29"/>
      <c r="B21" s="636"/>
      <c r="C21" s="433"/>
      <c r="D21" s="741"/>
      <c r="E21" s="742"/>
      <c r="F21" s="740"/>
      <c r="G21" s="29"/>
      <c r="H21" s="29"/>
    </row>
    <row r="22" spans="1:8" ht="15" thickBot="1">
      <c r="A22" s="29"/>
      <c r="B22" s="430" t="s">
        <v>375</v>
      </c>
      <c r="C22" s="369" t="s">
        <v>104</v>
      </c>
      <c r="D22" s="741"/>
      <c r="E22" s="742"/>
      <c r="F22" s="740"/>
      <c r="G22" s="29"/>
      <c r="H22" s="29"/>
    </row>
    <row r="23" spans="1:8">
      <c r="A23" s="29"/>
      <c r="B23" s="643"/>
      <c r="C23" s="175"/>
      <c r="D23" s="1192" t="s">
        <v>377</v>
      </c>
      <c r="E23" s="1192"/>
      <c r="F23" s="1193"/>
      <c r="G23" s="29"/>
      <c r="H23" s="29"/>
    </row>
    <row r="24" spans="1:8">
      <c r="A24" s="29"/>
      <c r="B24" s="639"/>
      <c r="C24" s="175"/>
      <c r="D24" s="1195"/>
      <c r="E24" s="1195"/>
      <c r="F24" s="1196"/>
      <c r="G24" s="29"/>
      <c r="H24" s="29"/>
    </row>
    <row r="25" spans="1:8">
      <c r="A25" s="29"/>
      <c r="B25" s="643"/>
      <c r="C25" s="175"/>
      <c r="D25" s="1195"/>
      <c r="E25" s="1195"/>
      <c r="F25" s="1196"/>
      <c r="G25" s="29"/>
      <c r="H25" s="29"/>
    </row>
    <row r="26" spans="1:8">
      <c r="A26" s="29"/>
      <c r="B26" s="639"/>
      <c r="C26" s="175"/>
      <c r="D26" s="1195"/>
      <c r="E26" s="1195"/>
      <c r="F26" s="1196"/>
      <c r="G26" s="29"/>
      <c r="H26" s="29"/>
    </row>
    <row r="27" spans="1:8">
      <c r="A27" s="29"/>
      <c r="B27" s="643"/>
      <c r="C27" s="175"/>
      <c r="D27" s="1195"/>
      <c r="E27" s="1195"/>
      <c r="F27" s="1196"/>
      <c r="G27" s="29"/>
      <c r="H27" s="29"/>
    </row>
    <row r="28" spans="1:8">
      <c r="A28" s="29"/>
      <c r="B28" s="639"/>
      <c r="C28" s="175"/>
      <c r="D28" s="1195"/>
      <c r="E28" s="1195"/>
      <c r="F28" s="1196"/>
      <c r="G28" s="29"/>
      <c r="H28" s="29"/>
    </row>
    <row r="29" spans="1:8">
      <c r="A29" s="29"/>
      <c r="B29" s="643"/>
      <c r="C29" s="175"/>
      <c r="D29" s="1195"/>
      <c r="E29" s="1195"/>
      <c r="F29" s="1196"/>
      <c r="G29" s="29"/>
      <c r="H29" s="29"/>
    </row>
    <row r="30" spans="1:8">
      <c r="A30" s="29"/>
      <c r="B30" s="639"/>
      <c r="C30" s="175"/>
      <c r="D30" s="1195"/>
      <c r="E30" s="1195"/>
      <c r="F30" s="1196"/>
      <c r="G30" s="29"/>
      <c r="H30" s="29"/>
    </row>
    <row r="31" spans="1:8" ht="15" thickBot="1">
      <c r="A31" s="29"/>
      <c r="B31" s="1146"/>
      <c r="C31" s="366"/>
      <c r="D31" s="1198"/>
      <c r="E31" s="1198"/>
      <c r="F31" s="1199"/>
      <c r="G31" s="29"/>
      <c r="H31" s="29"/>
    </row>
    <row r="32" spans="1:8" ht="15" thickBot="1">
      <c r="A32" s="29"/>
      <c r="B32" s="1147" t="s">
        <v>380</v>
      </c>
      <c r="C32" s="1148" t="s">
        <v>169</v>
      </c>
      <c r="D32" s="27"/>
      <c r="E32" s="27"/>
      <c r="F32" s="396"/>
      <c r="G32" s="29"/>
      <c r="H32" s="29"/>
    </row>
    <row r="33" spans="1:8">
      <c r="A33" s="29"/>
      <c r="B33" s="1032" t="s">
        <v>174</v>
      </c>
      <c r="C33" s="367"/>
      <c r="D33" s="1192" t="s">
        <v>381</v>
      </c>
      <c r="E33" s="1192"/>
      <c r="F33" s="1193"/>
      <c r="G33" s="29"/>
      <c r="H33" s="29"/>
    </row>
    <row r="34" spans="1:8">
      <c r="A34" s="29"/>
      <c r="B34" s="1032" t="s">
        <v>267</v>
      </c>
      <c r="C34" s="367"/>
      <c r="D34" s="1195"/>
      <c r="E34" s="1195"/>
      <c r="F34" s="1196"/>
      <c r="G34" s="29"/>
      <c r="H34" s="29"/>
    </row>
    <row r="35" spans="1:8">
      <c r="A35" s="29"/>
      <c r="B35" s="1032" t="s">
        <v>382</v>
      </c>
      <c r="C35" s="367"/>
      <c r="D35" s="1195"/>
      <c r="E35" s="1195"/>
      <c r="F35" s="1196"/>
      <c r="G35" s="29"/>
      <c r="H35" s="29"/>
    </row>
    <row r="36" spans="1:8">
      <c r="A36" s="29"/>
      <c r="B36" s="1032" t="s">
        <v>175</v>
      </c>
      <c r="C36" s="367"/>
      <c r="D36" s="1195"/>
      <c r="E36" s="1195"/>
      <c r="F36" s="1196"/>
      <c r="G36" s="29"/>
      <c r="H36" s="29"/>
    </row>
    <row r="37" spans="1:8">
      <c r="A37" s="29"/>
      <c r="B37" s="1032" t="s">
        <v>383</v>
      </c>
      <c r="C37" s="367"/>
      <c r="D37" s="1195"/>
      <c r="E37" s="1195"/>
      <c r="F37" s="1196"/>
      <c r="G37" s="29"/>
      <c r="H37" s="29"/>
    </row>
    <row r="38" spans="1:8">
      <c r="A38" s="29"/>
      <c r="B38" s="1032" t="s">
        <v>174</v>
      </c>
      <c r="C38" s="367"/>
      <c r="D38" s="1195"/>
      <c r="E38" s="1195"/>
      <c r="F38" s="1196"/>
      <c r="G38" s="29"/>
      <c r="H38" s="29"/>
    </row>
    <row r="39" spans="1:8">
      <c r="A39" s="29"/>
      <c r="B39" s="1032"/>
      <c r="C39" s="367"/>
      <c r="D39" s="1195"/>
      <c r="E39" s="1195"/>
      <c r="F39" s="1196"/>
      <c r="G39" s="29"/>
      <c r="H39" s="29"/>
    </row>
    <row r="40" spans="1:8" ht="15" thickBot="1">
      <c r="A40" s="29"/>
      <c r="B40" s="1145"/>
      <c r="C40" s="432"/>
      <c r="D40" s="1198"/>
      <c r="E40" s="1198"/>
      <c r="F40" s="1199"/>
      <c r="G40" s="29"/>
      <c r="H40" s="29"/>
    </row>
    <row r="41" spans="1:8">
      <c r="A41" s="29"/>
      <c r="B41" s="29"/>
      <c r="C41" s="29"/>
      <c r="D41" s="397"/>
      <c r="E41" s="27"/>
      <c r="F41" s="396"/>
      <c r="G41" s="29"/>
      <c r="H41" s="29"/>
    </row>
    <row r="42" spans="1:8" ht="15" thickBot="1">
      <c r="A42" s="29"/>
      <c r="B42" s="29"/>
      <c r="C42" s="29"/>
      <c r="D42" s="397"/>
      <c r="E42" s="27"/>
      <c r="F42" s="396"/>
      <c r="G42" s="467"/>
      <c r="H42" s="29"/>
    </row>
    <row r="43" spans="1:8" ht="15" customHeight="1" thickBot="1">
      <c r="A43" s="29"/>
      <c r="B43" s="429" t="s">
        <v>384</v>
      </c>
      <c r="C43" s="743"/>
      <c r="D43" s="1191" t="s">
        <v>385</v>
      </c>
      <c r="E43" s="1192"/>
      <c r="F43" s="1193"/>
      <c r="G43" s="29"/>
      <c r="H43" s="29"/>
    </row>
    <row r="44" spans="1:8">
      <c r="A44" s="29"/>
      <c r="B44" s="1143" t="s">
        <v>386</v>
      </c>
      <c r="C44" s="1143" t="s">
        <v>387</v>
      </c>
      <c r="D44" s="1194"/>
      <c r="E44" s="1195"/>
      <c r="F44" s="1196"/>
      <c r="G44" s="29"/>
      <c r="H44" s="29"/>
    </row>
    <row r="45" spans="1:8">
      <c r="A45" s="29"/>
      <c r="B45" s="637" t="s">
        <v>388</v>
      </c>
      <c r="C45" s="432"/>
      <c r="D45" s="1194"/>
      <c r="E45" s="1195"/>
      <c r="F45" s="1196"/>
      <c r="G45" s="29"/>
      <c r="H45" s="29"/>
    </row>
    <row r="46" spans="1:8">
      <c r="A46" s="29"/>
      <c r="B46" s="636" t="s">
        <v>389</v>
      </c>
      <c r="C46" s="432"/>
      <c r="D46" s="1194"/>
      <c r="E46" s="1195"/>
      <c r="F46" s="1196"/>
      <c r="G46" s="29"/>
      <c r="H46" s="29"/>
    </row>
    <row r="47" spans="1:8">
      <c r="A47" s="29"/>
      <c r="B47" s="637" t="s">
        <v>390</v>
      </c>
      <c r="C47" s="432"/>
      <c r="D47" s="1194"/>
      <c r="E47" s="1195"/>
      <c r="F47" s="1196"/>
      <c r="G47" s="29"/>
      <c r="H47" s="29"/>
    </row>
    <row r="48" spans="1:8">
      <c r="A48" s="29"/>
      <c r="B48" s="636" t="s">
        <v>391</v>
      </c>
      <c r="C48" s="432"/>
      <c r="D48" s="1194"/>
      <c r="E48" s="1195"/>
      <c r="F48" s="1196"/>
      <c r="G48" s="29"/>
      <c r="H48" s="29"/>
    </row>
    <row r="49" spans="1:8">
      <c r="A49" s="29"/>
      <c r="B49" s="637" t="s">
        <v>392</v>
      </c>
      <c r="C49" s="432"/>
      <c r="D49" s="1194"/>
      <c r="E49" s="1195"/>
      <c r="F49" s="1196"/>
      <c r="G49" s="29"/>
      <c r="H49" s="29"/>
    </row>
    <row r="50" spans="1:8">
      <c r="A50" s="29"/>
      <c r="B50" s="636"/>
      <c r="C50" s="432"/>
      <c r="D50" s="1194"/>
      <c r="E50" s="1195"/>
      <c r="F50" s="1196"/>
      <c r="G50" s="29"/>
      <c r="H50" s="29"/>
    </row>
    <row r="51" spans="1:8">
      <c r="A51" s="29"/>
      <c r="B51" s="637"/>
      <c r="C51" s="432"/>
      <c r="D51" s="1194"/>
      <c r="E51" s="1195"/>
      <c r="F51" s="1196"/>
      <c r="G51" s="29"/>
      <c r="H51" s="29"/>
    </row>
    <row r="52" spans="1:8">
      <c r="A52" s="29"/>
      <c r="B52" s="636"/>
      <c r="C52" s="432"/>
      <c r="D52" s="1194"/>
      <c r="E52" s="1195"/>
      <c r="F52" s="1196"/>
      <c r="G52" s="29"/>
      <c r="H52" s="29"/>
    </row>
    <row r="53" spans="1:8">
      <c r="A53" s="29"/>
      <c r="B53" s="637"/>
      <c r="C53" s="432"/>
      <c r="D53" s="1194"/>
      <c r="E53" s="1195"/>
      <c r="F53" s="1196"/>
      <c r="G53" s="29"/>
      <c r="H53" s="29"/>
    </row>
    <row r="54" spans="1:8">
      <c r="A54" s="29"/>
      <c r="B54" s="636"/>
      <c r="C54" s="432"/>
      <c r="D54" s="1194"/>
      <c r="E54" s="1195"/>
      <c r="F54" s="1196"/>
      <c r="G54" s="29"/>
      <c r="H54" s="29"/>
    </row>
    <row r="55" spans="1:8">
      <c r="A55" s="29"/>
      <c r="B55" s="637"/>
      <c r="C55" s="432"/>
      <c r="D55" s="1194"/>
      <c r="E55" s="1195"/>
      <c r="F55" s="1196"/>
      <c r="G55" s="29"/>
      <c r="H55" s="29"/>
    </row>
    <row r="56" spans="1:8">
      <c r="A56" s="29"/>
      <c r="B56" s="636"/>
      <c r="C56" s="432"/>
      <c r="D56" s="1194"/>
      <c r="E56" s="1195"/>
      <c r="F56" s="1196"/>
      <c r="G56" s="29"/>
      <c r="H56" s="29"/>
    </row>
    <row r="57" spans="1:8">
      <c r="A57" s="29"/>
      <c r="B57" s="637"/>
      <c r="C57" s="432"/>
      <c r="D57" s="1194"/>
      <c r="E57" s="1195"/>
      <c r="F57" s="1196"/>
      <c r="G57" s="29"/>
      <c r="H57" s="29"/>
    </row>
    <row r="58" spans="1:8">
      <c r="A58" s="29"/>
      <c r="B58" s="636"/>
      <c r="C58" s="432"/>
      <c r="D58" s="1194"/>
      <c r="E58" s="1195"/>
      <c r="F58" s="1196"/>
      <c r="G58" s="29"/>
      <c r="H58" s="29"/>
    </row>
    <row r="59" spans="1:8">
      <c r="A59" s="29"/>
      <c r="B59" s="637"/>
      <c r="C59" s="432"/>
      <c r="D59" s="1194"/>
      <c r="E59" s="1195"/>
      <c r="F59" s="1196"/>
      <c r="G59" s="29"/>
      <c r="H59" s="29"/>
    </row>
    <row r="60" spans="1:8">
      <c r="A60" s="29"/>
      <c r="B60" s="636"/>
      <c r="C60" s="432"/>
      <c r="D60" s="1194"/>
      <c r="E60" s="1195"/>
      <c r="F60" s="1196"/>
      <c r="G60" s="29"/>
      <c r="H60" s="29"/>
    </row>
    <row r="61" spans="1:8">
      <c r="A61" s="29"/>
      <c r="B61" s="637"/>
      <c r="C61" s="432"/>
      <c r="D61" s="1194"/>
      <c r="E61" s="1195"/>
      <c r="F61" s="1196"/>
      <c r="G61" s="29"/>
      <c r="H61" s="29"/>
    </row>
    <row r="62" spans="1:8">
      <c r="A62" s="29"/>
      <c r="B62" s="636"/>
      <c r="C62" s="432"/>
      <c r="D62" s="1194"/>
      <c r="E62" s="1195"/>
      <c r="F62" s="1196"/>
      <c r="G62" s="29"/>
      <c r="H62" s="29"/>
    </row>
    <row r="63" spans="1:8">
      <c r="A63" s="29"/>
      <c r="B63" s="637"/>
      <c r="C63" s="432"/>
      <c r="D63" s="1194"/>
      <c r="E63" s="1195"/>
      <c r="F63" s="1196"/>
      <c r="G63" s="29"/>
      <c r="H63" s="29"/>
    </row>
    <row r="64" spans="1:8">
      <c r="A64" s="29"/>
      <c r="B64" s="636"/>
      <c r="C64" s="432"/>
      <c r="D64" s="1194"/>
      <c r="E64" s="1195"/>
      <c r="F64" s="1196"/>
      <c r="G64" s="29"/>
      <c r="H64" s="29"/>
    </row>
    <row r="65" spans="1:8">
      <c r="A65" s="29"/>
      <c r="B65" s="637"/>
      <c r="C65" s="432"/>
      <c r="D65" s="1194"/>
      <c r="E65" s="1195"/>
      <c r="F65" s="1196"/>
      <c r="G65" s="29"/>
      <c r="H65" s="29"/>
    </row>
    <row r="66" spans="1:8">
      <c r="A66" s="29"/>
      <c r="B66" s="636"/>
      <c r="C66" s="432"/>
      <c r="D66" s="1194"/>
      <c r="E66" s="1195"/>
      <c r="F66" s="1196"/>
      <c r="G66" s="29"/>
      <c r="H66" s="29"/>
    </row>
    <row r="67" spans="1:8">
      <c r="A67" s="29"/>
      <c r="B67" s="637"/>
      <c r="C67" s="432"/>
      <c r="D67" s="1194"/>
      <c r="E67" s="1195"/>
      <c r="F67" s="1196"/>
      <c r="G67" s="29"/>
      <c r="H67" s="29"/>
    </row>
    <row r="68" spans="1:8">
      <c r="A68" s="29"/>
      <c r="B68" s="636"/>
      <c r="C68" s="432"/>
      <c r="D68" s="1194"/>
      <c r="E68" s="1195"/>
      <c r="F68" s="1196"/>
      <c r="G68" s="29"/>
      <c r="H68" s="29"/>
    </row>
    <row r="69" spans="1:8" ht="15" thickBot="1">
      <c r="A69" s="29"/>
      <c r="B69" s="639"/>
      <c r="C69" s="367"/>
      <c r="D69" s="1197"/>
      <c r="E69" s="1198"/>
      <c r="F69" s="1199"/>
      <c r="G69" s="29"/>
      <c r="H69" s="29"/>
    </row>
    <row r="70" spans="1:8" ht="27" customHeight="1">
      <c r="A70" s="29"/>
      <c r="B70" s="641" t="s">
        <v>393</v>
      </c>
      <c r="C70" s="1144" t="s">
        <v>387</v>
      </c>
      <c r="D70" s="1191" t="s">
        <v>394</v>
      </c>
      <c r="E70" s="1192"/>
      <c r="F70" s="1193"/>
      <c r="G70" s="29"/>
      <c r="H70" s="29"/>
    </row>
    <row r="71" spans="1:8">
      <c r="A71" s="29"/>
      <c r="B71" s="640" t="s">
        <v>395</v>
      </c>
      <c r="C71" s="367"/>
      <c r="D71" s="1194"/>
      <c r="E71" s="1195"/>
      <c r="F71" s="1196"/>
      <c r="G71" s="29"/>
      <c r="H71" s="29"/>
    </row>
    <row r="72" spans="1:8">
      <c r="A72" s="29"/>
      <c r="B72" s="431" t="s">
        <v>396</v>
      </c>
      <c r="C72" s="432"/>
      <c r="D72" s="1194"/>
      <c r="E72" s="1195"/>
      <c r="F72" s="1196"/>
      <c r="G72" s="29"/>
      <c r="H72" s="29"/>
    </row>
    <row r="73" spans="1:8">
      <c r="A73" s="29"/>
      <c r="B73" s="634"/>
      <c r="C73" s="432"/>
      <c r="D73" s="1194"/>
      <c r="E73" s="1195"/>
      <c r="F73" s="1196"/>
      <c r="G73" s="29"/>
      <c r="H73" s="29"/>
    </row>
    <row r="74" spans="1:8">
      <c r="A74" s="29"/>
      <c r="B74" s="431"/>
      <c r="C74" s="432"/>
      <c r="D74" s="1194"/>
      <c r="E74" s="1195"/>
      <c r="F74" s="1196"/>
      <c r="G74" s="29"/>
      <c r="H74" s="29"/>
    </row>
    <row r="75" spans="1:8">
      <c r="A75" s="29"/>
      <c r="B75" s="634"/>
      <c r="C75" s="432"/>
      <c r="D75" s="1194"/>
      <c r="E75" s="1195"/>
      <c r="F75" s="1196"/>
      <c r="G75" s="29"/>
      <c r="H75" s="29"/>
    </row>
    <row r="76" spans="1:8">
      <c r="A76" s="29"/>
      <c r="B76" s="431"/>
      <c r="C76" s="432"/>
      <c r="D76" s="1194"/>
      <c r="E76" s="1195"/>
      <c r="F76" s="1196"/>
      <c r="G76" s="29"/>
      <c r="H76" s="29"/>
    </row>
    <row r="77" spans="1:8">
      <c r="A77" s="29"/>
      <c r="B77" s="634"/>
      <c r="C77" s="432"/>
      <c r="D77" s="1194"/>
      <c r="E77" s="1195"/>
      <c r="F77" s="1196"/>
      <c r="G77" s="29"/>
      <c r="H77" s="29"/>
    </row>
    <row r="78" spans="1:8">
      <c r="A78" s="29"/>
      <c r="B78" s="431"/>
      <c r="C78" s="432"/>
      <c r="D78" s="1194"/>
      <c r="E78" s="1195"/>
      <c r="F78" s="1196"/>
      <c r="G78" s="29"/>
      <c r="H78" s="29"/>
    </row>
    <row r="79" spans="1:8">
      <c r="A79" s="29"/>
      <c r="B79" s="634"/>
      <c r="C79" s="432"/>
      <c r="D79" s="1194"/>
      <c r="E79" s="1195"/>
      <c r="F79" s="1196"/>
      <c r="G79" s="29"/>
      <c r="H79" s="29"/>
    </row>
    <row r="80" spans="1:8">
      <c r="A80" s="29"/>
      <c r="B80" s="431"/>
      <c r="C80" s="432"/>
      <c r="D80" s="1194"/>
      <c r="E80" s="1195"/>
      <c r="F80" s="1196"/>
      <c r="G80" s="29"/>
      <c r="H80" s="29"/>
    </row>
    <row r="81" spans="1:10">
      <c r="A81" s="29"/>
      <c r="B81" s="634"/>
      <c r="C81" s="432"/>
      <c r="D81" s="1194"/>
      <c r="E81" s="1195"/>
      <c r="F81" s="1196"/>
      <c r="G81" s="29"/>
      <c r="H81" s="29"/>
    </row>
    <row r="82" spans="1:10">
      <c r="A82" s="29"/>
      <c r="B82" s="431"/>
      <c r="C82" s="432"/>
      <c r="D82" s="1194"/>
      <c r="E82" s="1195"/>
      <c r="F82" s="1196"/>
      <c r="G82" s="29"/>
      <c r="H82" s="29"/>
    </row>
    <row r="83" spans="1:10" ht="15" thickBot="1">
      <c r="A83" s="29"/>
      <c r="B83" s="642"/>
      <c r="C83" s="434"/>
      <c r="D83" s="1197"/>
      <c r="E83" s="1198"/>
      <c r="F83" s="1199"/>
      <c r="G83" s="29"/>
      <c r="H83" s="29"/>
    </row>
    <row r="84" spans="1:10" ht="15" thickBot="1">
      <c r="A84" s="29"/>
      <c r="B84" s="29"/>
      <c r="C84" s="606"/>
      <c r="D84" s="728"/>
      <c r="E84" s="729"/>
      <c r="F84" s="730"/>
      <c r="G84" s="29"/>
      <c r="H84" s="29"/>
    </row>
    <row r="85" spans="1:10" ht="19" thickBot="1">
      <c r="A85" s="29"/>
      <c r="B85" s="1284" t="s">
        <v>397</v>
      </c>
      <c r="C85" s="1285"/>
      <c r="D85" s="414"/>
      <c r="E85" s="27"/>
      <c r="F85" s="415"/>
      <c r="G85" s="29"/>
      <c r="H85" s="29"/>
    </row>
    <row r="86" spans="1:10" ht="8.15" customHeight="1" thickBot="1">
      <c r="A86" s="29"/>
      <c r="B86" s="1286"/>
      <c r="C86" s="1287"/>
      <c r="D86" s="414"/>
      <c r="E86" s="27"/>
      <c r="F86" s="415"/>
      <c r="G86" s="29"/>
      <c r="H86" s="29"/>
    </row>
    <row r="87" spans="1:10" ht="15" thickBot="1">
      <c r="A87" s="29"/>
      <c r="B87" s="1060" t="s">
        <v>398</v>
      </c>
      <c r="D87" s="29"/>
      <c r="E87" s="744"/>
      <c r="F87" s="745"/>
      <c r="G87" s="29"/>
      <c r="H87" s="29"/>
    </row>
    <row r="88" spans="1:10" ht="15.5" thickBot="1">
      <c r="A88" s="29"/>
      <c r="B88" s="1061" t="s">
        <v>399</v>
      </c>
      <c r="C88" s="1062" t="s">
        <v>400</v>
      </c>
      <c r="D88" s="1063" t="s">
        <v>401</v>
      </c>
      <c r="E88" s="747" t="s">
        <v>402</v>
      </c>
      <c r="F88" s="746"/>
      <c r="G88" s="29"/>
      <c r="H88" s="29"/>
    </row>
    <row r="89" spans="1:10" ht="14.9" customHeight="1">
      <c r="A89" s="29"/>
      <c r="B89" s="436">
        <v>1</v>
      </c>
      <c r="C89" s="175"/>
      <c r="D89" s="175"/>
      <c r="E89" s="367"/>
      <c r="F89" s="1191" t="s">
        <v>2561</v>
      </c>
      <c r="G89" s="1193"/>
      <c r="H89" s="29"/>
      <c r="I89" s="201"/>
      <c r="J89" s="201"/>
    </row>
    <row r="90" spans="1:10" ht="15">
      <c r="A90" s="29"/>
      <c r="B90" s="437">
        <v>2</v>
      </c>
      <c r="C90" s="175" t="s">
        <v>404</v>
      </c>
      <c r="D90" s="175"/>
      <c r="E90" s="367"/>
      <c r="F90" s="1194"/>
      <c r="G90" s="1196"/>
      <c r="H90" s="535"/>
      <c r="I90" s="201"/>
      <c r="J90" s="201"/>
    </row>
    <row r="91" spans="1:10" ht="15">
      <c r="A91" s="29"/>
      <c r="B91" s="436">
        <v>3</v>
      </c>
      <c r="C91" s="175" t="s">
        <v>404</v>
      </c>
      <c r="D91" s="175"/>
      <c r="E91" s="367"/>
      <c r="F91" s="1194"/>
      <c r="G91" s="1196"/>
      <c r="H91" s="535"/>
      <c r="I91" s="201"/>
      <c r="J91" s="201"/>
    </row>
    <row r="92" spans="1:10" ht="15">
      <c r="A92" s="29"/>
      <c r="B92" s="437">
        <v>4</v>
      </c>
      <c r="C92" s="175" t="s">
        <v>404</v>
      </c>
      <c r="D92" s="175"/>
      <c r="E92" s="367"/>
      <c r="F92" s="1194"/>
      <c r="G92" s="1196"/>
      <c r="H92" s="535"/>
      <c r="I92" s="201"/>
      <c r="J92" s="201"/>
    </row>
    <row r="93" spans="1:10" ht="15">
      <c r="A93" s="29"/>
      <c r="B93" s="436">
        <v>5</v>
      </c>
      <c r="C93" s="175" t="s">
        <v>404</v>
      </c>
      <c r="D93" s="175"/>
      <c r="E93" s="367"/>
      <c r="F93" s="1194"/>
      <c r="G93" s="1196"/>
      <c r="H93" s="535"/>
      <c r="I93" s="201"/>
      <c r="J93" s="201"/>
    </row>
    <row r="94" spans="1:10" ht="15">
      <c r="A94" s="29"/>
      <c r="B94" s="437">
        <v>6</v>
      </c>
      <c r="C94" s="175" t="s">
        <v>404</v>
      </c>
      <c r="D94" s="175"/>
      <c r="E94" s="367"/>
      <c r="F94" s="1194"/>
      <c r="G94" s="1196"/>
      <c r="H94" s="535"/>
      <c r="I94" s="201"/>
      <c r="J94" s="201"/>
    </row>
    <row r="95" spans="1:10" ht="15">
      <c r="A95" s="29"/>
      <c r="B95" s="436">
        <v>7</v>
      </c>
      <c r="C95" s="175" t="s">
        <v>404</v>
      </c>
      <c r="D95" s="175"/>
      <c r="E95" s="367"/>
      <c r="F95" s="1194"/>
      <c r="G95" s="1196"/>
      <c r="H95" s="535"/>
      <c r="I95" s="201"/>
      <c r="J95" s="201"/>
    </row>
    <row r="96" spans="1:10" ht="15">
      <c r="A96" s="29"/>
      <c r="B96" s="437">
        <v>8</v>
      </c>
      <c r="C96" s="175" t="s">
        <v>404</v>
      </c>
      <c r="D96" s="175"/>
      <c r="E96" s="367"/>
      <c r="F96" s="1194"/>
      <c r="G96" s="1196"/>
      <c r="H96" s="535"/>
      <c r="I96" s="201"/>
      <c r="J96" s="201"/>
    </row>
    <row r="97" spans="1:10" ht="15">
      <c r="A97" s="29"/>
      <c r="B97" s="436">
        <v>9</v>
      </c>
      <c r="C97" s="175" t="s">
        <v>404</v>
      </c>
      <c r="D97" s="175"/>
      <c r="E97" s="367"/>
      <c r="F97" s="1194"/>
      <c r="G97" s="1196"/>
      <c r="H97" s="535"/>
      <c r="I97" s="201"/>
      <c r="J97" s="201"/>
    </row>
    <row r="98" spans="1:10">
      <c r="A98" s="29"/>
      <c r="B98" s="438">
        <v>10</v>
      </c>
      <c r="C98" s="175" t="s">
        <v>404</v>
      </c>
      <c r="D98" s="175"/>
      <c r="E98" s="367"/>
      <c r="F98" s="1194"/>
      <c r="G98" s="1196"/>
      <c r="H98" s="535"/>
      <c r="I98" s="201"/>
      <c r="J98" s="201"/>
    </row>
    <row r="99" spans="1:10">
      <c r="A99" s="29"/>
      <c r="B99" s="439">
        <v>11</v>
      </c>
      <c r="C99" s="175" t="s">
        <v>404</v>
      </c>
      <c r="D99" s="175"/>
      <c r="E99" s="367"/>
      <c r="F99" s="1194"/>
      <c r="G99" s="1196"/>
      <c r="H99" s="535"/>
      <c r="I99" s="201"/>
      <c r="J99" s="201"/>
    </row>
    <row r="100" spans="1:10">
      <c r="A100" s="29"/>
      <c r="B100" s="438">
        <v>12</v>
      </c>
      <c r="C100" s="175" t="s">
        <v>404</v>
      </c>
      <c r="D100" s="175"/>
      <c r="E100" s="367"/>
      <c r="F100" s="1194"/>
      <c r="G100" s="1196"/>
      <c r="H100" s="535"/>
      <c r="I100" s="201"/>
      <c r="J100" s="201"/>
    </row>
    <row r="101" spans="1:10">
      <c r="A101" s="29"/>
      <c r="B101" s="439">
        <v>13</v>
      </c>
      <c r="C101" s="175" t="s">
        <v>404</v>
      </c>
      <c r="D101" s="175"/>
      <c r="E101" s="367"/>
      <c r="F101" s="1194"/>
      <c r="G101" s="1196"/>
      <c r="H101" s="535"/>
      <c r="I101" s="201"/>
      <c r="J101" s="201"/>
    </row>
    <row r="102" spans="1:10">
      <c r="A102" s="29"/>
      <c r="B102" s="438">
        <v>14</v>
      </c>
      <c r="C102" s="175" t="s">
        <v>404</v>
      </c>
      <c r="D102" s="175"/>
      <c r="E102" s="367"/>
      <c r="F102" s="1194"/>
      <c r="G102" s="1196"/>
      <c r="H102" s="535"/>
      <c r="I102" s="201"/>
      <c r="J102" s="201"/>
    </row>
    <row r="103" spans="1:10">
      <c r="A103" s="29"/>
      <c r="B103" s="439">
        <v>15</v>
      </c>
      <c r="C103" s="175" t="s">
        <v>404</v>
      </c>
      <c r="D103" s="175"/>
      <c r="E103" s="367"/>
      <c r="F103" s="1194"/>
      <c r="G103" s="1196"/>
      <c r="H103" s="535"/>
      <c r="I103" s="201"/>
      <c r="J103" s="201"/>
    </row>
    <row r="104" spans="1:10">
      <c r="A104" s="29"/>
      <c r="B104" s="438">
        <v>16</v>
      </c>
      <c r="C104" s="175" t="s">
        <v>404</v>
      </c>
      <c r="D104" s="175"/>
      <c r="E104" s="367"/>
      <c r="F104" s="1194"/>
      <c r="G104" s="1196"/>
      <c r="H104" s="535"/>
      <c r="I104" s="201"/>
      <c r="J104" s="201"/>
    </row>
    <row r="105" spans="1:10">
      <c r="A105" s="29"/>
      <c r="B105" s="439">
        <v>17</v>
      </c>
      <c r="C105" s="175" t="s">
        <v>404</v>
      </c>
      <c r="D105" s="175"/>
      <c r="E105" s="367"/>
      <c r="F105" s="1194"/>
      <c r="G105" s="1196"/>
      <c r="H105" s="535"/>
      <c r="I105" s="201"/>
      <c r="J105" s="201"/>
    </row>
    <row r="106" spans="1:10">
      <c r="A106" s="29"/>
      <c r="B106" s="438">
        <v>18</v>
      </c>
      <c r="C106" s="175" t="s">
        <v>404</v>
      </c>
      <c r="D106" s="175"/>
      <c r="E106" s="367"/>
      <c r="F106" s="1194"/>
      <c r="G106" s="1196"/>
      <c r="H106" s="535"/>
      <c r="I106" s="201"/>
      <c r="J106" s="201"/>
    </row>
    <row r="107" spans="1:10">
      <c r="A107" s="29"/>
      <c r="B107" s="439">
        <v>19</v>
      </c>
      <c r="C107" s="175" t="s">
        <v>404</v>
      </c>
      <c r="D107" s="175"/>
      <c r="E107" s="367"/>
      <c r="F107" s="1194"/>
      <c r="G107" s="1196"/>
      <c r="H107" s="535"/>
      <c r="I107" s="201"/>
      <c r="J107" s="201"/>
    </row>
    <row r="108" spans="1:10">
      <c r="A108" s="29"/>
      <c r="B108" s="438">
        <v>20</v>
      </c>
      <c r="C108" s="175" t="s">
        <v>404</v>
      </c>
      <c r="D108" s="175"/>
      <c r="E108" s="367"/>
      <c r="F108" s="1194"/>
      <c r="G108" s="1196"/>
      <c r="H108" s="535"/>
      <c r="I108" s="201"/>
      <c r="J108" s="201"/>
    </row>
    <row r="109" spans="1:10">
      <c r="A109" s="29"/>
      <c r="B109" s="439">
        <v>21</v>
      </c>
      <c r="C109" s="175" t="s">
        <v>404</v>
      </c>
      <c r="D109" s="175"/>
      <c r="E109" s="367"/>
      <c r="F109" s="1194"/>
      <c r="G109" s="1196"/>
      <c r="H109" s="535"/>
      <c r="I109" s="201"/>
      <c r="J109" s="201"/>
    </row>
    <row r="110" spans="1:10">
      <c r="A110" s="29"/>
      <c r="B110" s="438">
        <v>22</v>
      </c>
      <c r="C110" s="175" t="s">
        <v>404</v>
      </c>
      <c r="D110" s="175"/>
      <c r="E110" s="367"/>
      <c r="F110" s="1194"/>
      <c r="G110" s="1196"/>
      <c r="H110" s="535"/>
      <c r="I110" s="201"/>
      <c r="J110" s="201"/>
    </row>
    <row r="111" spans="1:10">
      <c r="A111" s="29"/>
      <c r="B111" s="439">
        <v>23</v>
      </c>
      <c r="C111" s="175" t="s">
        <v>404</v>
      </c>
      <c r="D111" s="175"/>
      <c r="E111" s="367"/>
      <c r="F111" s="1194"/>
      <c r="G111" s="1196"/>
      <c r="H111" s="535"/>
      <c r="I111" s="201"/>
      <c r="J111" s="201"/>
    </row>
    <row r="112" spans="1:10">
      <c r="A112" s="29"/>
      <c r="B112" s="438">
        <v>24</v>
      </c>
      <c r="C112" s="175" t="s">
        <v>404</v>
      </c>
      <c r="D112" s="175"/>
      <c r="E112" s="367"/>
      <c r="F112" s="1194"/>
      <c r="G112" s="1196"/>
      <c r="H112" s="535"/>
      <c r="I112" s="201"/>
      <c r="J112" s="201"/>
    </row>
    <row r="113" spans="1:10">
      <c r="A113" s="29"/>
      <c r="B113" s="439">
        <v>25</v>
      </c>
      <c r="C113" s="175" t="s">
        <v>404</v>
      </c>
      <c r="D113" s="175"/>
      <c r="E113" s="367"/>
      <c r="F113" s="1194"/>
      <c r="G113" s="1196"/>
      <c r="H113" s="535"/>
      <c r="I113" s="201"/>
      <c r="J113" s="201"/>
    </row>
    <row r="114" spans="1:10">
      <c r="A114" s="29"/>
      <c r="B114" s="438">
        <v>26</v>
      </c>
      <c r="C114" s="175" t="s">
        <v>404</v>
      </c>
      <c r="D114" s="175"/>
      <c r="E114" s="367"/>
      <c r="F114" s="1194"/>
      <c r="G114" s="1196"/>
      <c r="H114" s="535"/>
      <c r="I114" s="201"/>
      <c r="J114" s="201"/>
    </row>
    <row r="115" spans="1:10">
      <c r="A115" s="29"/>
      <c r="B115" s="439">
        <v>27</v>
      </c>
      <c r="C115" s="175" t="s">
        <v>404</v>
      </c>
      <c r="D115" s="175"/>
      <c r="E115" s="367"/>
      <c r="F115" s="1194"/>
      <c r="G115" s="1196"/>
      <c r="H115" s="535"/>
      <c r="I115" s="201"/>
      <c r="J115" s="201"/>
    </row>
    <row r="116" spans="1:10">
      <c r="A116" s="29"/>
      <c r="B116" s="438">
        <v>28</v>
      </c>
      <c r="C116" s="175" t="s">
        <v>404</v>
      </c>
      <c r="D116" s="175"/>
      <c r="E116" s="367"/>
      <c r="F116" s="1194"/>
      <c r="G116" s="1196"/>
      <c r="H116" s="535"/>
      <c r="I116" s="201"/>
      <c r="J116" s="201"/>
    </row>
    <row r="117" spans="1:10">
      <c r="A117" s="29"/>
      <c r="B117" s="439">
        <v>29</v>
      </c>
      <c r="C117" s="175" t="s">
        <v>404</v>
      </c>
      <c r="D117" s="175"/>
      <c r="E117" s="367"/>
      <c r="F117" s="1194"/>
      <c r="G117" s="1196"/>
      <c r="H117" s="535"/>
      <c r="I117" s="201"/>
      <c r="J117" s="201"/>
    </row>
    <row r="118" spans="1:10">
      <c r="A118" s="29"/>
      <c r="B118" s="438">
        <v>30</v>
      </c>
      <c r="C118" s="175" t="s">
        <v>404</v>
      </c>
      <c r="D118" s="175"/>
      <c r="E118" s="367"/>
      <c r="F118" s="1194"/>
      <c r="G118" s="1196"/>
      <c r="H118" s="535"/>
      <c r="I118" s="201"/>
      <c r="J118" s="201"/>
    </row>
    <row r="119" spans="1:10">
      <c r="A119" s="29"/>
      <c r="B119" s="439">
        <v>31</v>
      </c>
      <c r="C119" s="175" t="s">
        <v>404</v>
      </c>
      <c r="D119" s="175"/>
      <c r="E119" s="367"/>
      <c r="F119" s="1194"/>
      <c r="G119" s="1196"/>
      <c r="H119" s="535"/>
      <c r="I119" s="201"/>
      <c r="J119" s="201"/>
    </row>
    <row r="120" spans="1:10">
      <c r="A120" s="29"/>
      <c r="B120" s="438">
        <v>32</v>
      </c>
      <c r="C120" s="175" t="s">
        <v>404</v>
      </c>
      <c r="D120" s="175"/>
      <c r="E120" s="367"/>
      <c r="F120" s="1194"/>
      <c r="G120" s="1196"/>
      <c r="H120" s="535"/>
      <c r="I120" s="201"/>
      <c r="J120" s="201"/>
    </row>
    <row r="121" spans="1:10">
      <c r="A121" s="29"/>
      <c r="B121" s="439">
        <v>33</v>
      </c>
      <c r="C121" s="175" t="s">
        <v>404</v>
      </c>
      <c r="D121" s="175"/>
      <c r="E121" s="367"/>
      <c r="F121" s="1194"/>
      <c r="G121" s="1196"/>
      <c r="H121" s="535"/>
      <c r="I121" s="201"/>
      <c r="J121" s="201"/>
    </row>
    <row r="122" spans="1:10">
      <c r="A122" s="29"/>
      <c r="B122" s="438">
        <v>34</v>
      </c>
      <c r="C122" s="175" t="s">
        <v>404</v>
      </c>
      <c r="D122" s="175"/>
      <c r="E122" s="367"/>
      <c r="F122" s="1194"/>
      <c r="G122" s="1196"/>
      <c r="H122" s="535"/>
      <c r="I122" s="201"/>
      <c r="J122" s="201"/>
    </row>
    <row r="123" spans="1:10">
      <c r="A123" s="29"/>
      <c r="B123" s="439">
        <v>35</v>
      </c>
      <c r="C123" s="175" t="s">
        <v>404</v>
      </c>
      <c r="D123" s="175"/>
      <c r="E123" s="367"/>
      <c r="F123" s="1194"/>
      <c r="G123" s="1196"/>
      <c r="H123" s="29"/>
    </row>
    <row r="124" spans="1:10">
      <c r="A124" s="29"/>
      <c r="B124" s="438">
        <v>36</v>
      </c>
      <c r="C124" s="175" t="s">
        <v>404</v>
      </c>
      <c r="D124" s="175"/>
      <c r="E124" s="367"/>
      <c r="F124" s="1194"/>
      <c r="G124" s="1196"/>
      <c r="H124" s="29"/>
    </row>
    <row r="125" spans="1:10">
      <c r="A125" s="29"/>
      <c r="B125" s="439">
        <v>37</v>
      </c>
      <c r="C125" s="175" t="s">
        <v>404</v>
      </c>
      <c r="D125" s="175"/>
      <c r="E125" s="367"/>
      <c r="F125" s="1194"/>
      <c r="G125" s="1196"/>
      <c r="H125" s="29"/>
    </row>
    <row r="126" spans="1:10">
      <c r="A126" s="29"/>
      <c r="B126" s="438">
        <v>38</v>
      </c>
      <c r="C126" s="175" t="s">
        <v>404</v>
      </c>
      <c r="D126" s="175"/>
      <c r="E126" s="367"/>
      <c r="F126" s="1194"/>
      <c r="G126" s="1196"/>
      <c r="H126" s="29"/>
    </row>
    <row r="127" spans="1:10">
      <c r="A127" s="29"/>
      <c r="B127" s="439">
        <v>39</v>
      </c>
      <c r="C127" s="175" t="s">
        <v>404</v>
      </c>
      <c r="D127" s="175"/>
      <c r="E127" s="367"/>
      <c r="F127" s="1194"/>
      <c r="G127" s="1196"/>
      <c r="H127" s="29"/>
    </row>
    <row r="128" spans="1:10" ht="15" thickBot="1">
      <c r="A128" s="29"/>
      <c r="B128" s="435">
        <v>40</v>
      </c>
      <c r="C128" s="175" t="s">
        <v>404</v>
      </c>
      <c r="D128" s="175"/>
      <c r="E128" s="367"/>
      <c r="F128" s="1197"/>
      <c r="G128" s="1199"/>
      <c r="H128" s="29"/>
    </row>
    <row r="129" spans="1:8" ht="15">
      <c r="A129" s="29"/>
      <c r="B129" s="537"/>
      <c r="C129" s="538"/>
      <c r="D129" s="29"/>
      <c r="E129" s="29"/>
      <c r="F129" s="29"/>
      <c r="G129" s="29"/>
      <c r="H129" s="29"/>
    </row>
    <row r="130" spans="1:8">
      <c r="A130" s="29"/>
      <c r="B130" s="29"/>
      <c r="C130" s="29"/>
      <c r="D130" s="29"/>
      <c r="E130" s="29"/>
      <c r="F130" s="29"/>
      <c r="G130" s="29"/>
      <c r="H130" s="29"/>
    </row>
    <row r="131" spans="1:8">
      <c r="A131" s="29"/>
      <c r="B131" s="29"/>
      <c r="C131" s="29"/>
      <c r="D131" s="29"/>
      <c r="E131" s="29"/>
      <c r="F131" s="29"/>
      <c r="G131" s="29"/>
      <c r="H131" s="29"/>
    </row>
    <row r="132" spans="1:8">
      <c r="A132" s="29"/>
      <c r="B132" s="29"/>
      <c r="C132" s="29"/>
      <c r="D132" s="29"/>
      <c r="E132" s="29"/>
      <c r="F132" s="29"/>
      <c r="G132" s="29"/>
      <c r="H132" s="29"/>
    </row>
    <row r="133" spans="1:8">
      <c r="A133" s="29"/>
      <c r="B133" s="29"/>
      <c r="C133" s="29"/>
      <c r="D133" s="29"/>
      <c r="E133" s="29"/>
      <c r="F133" s="29"/>
      <c r="G133" s="29"/>
      <c r="H133" s="29"/>
    </row>
    <row r="134" spans="1:8">
      <c r="A134" s="29"/>
      <c r="B134" s="29"/>
      <c r="C134" s="29"/>
      <c r="D134" s="29"/>
      <c r="E134" s="29"/>
      <c r="F134" s="29"/>
      <c r="G134" s="29"/>
      <c r="H134" s="29"/>
    </row>
    <row r="135" spans="1:8">
      <c r="A135" s="29"/>
      <c r="B135" s="29"/>
      <c r="C135" s="29"/>
      <c r="D135" s="29"/>
      <c r="E135" s="29"/>
      <c r="F135" s="29"/>
      <c r="G135" s="29"/>
      <c r="H135" s="29"/>
    </row>
    <row r="136" spans="1:8">
      <c r="A136" s="29"/>
      <c r="B136" s="29"/>
      <c r="C136" s="29"/>
      <c r="D136" s="29"/>
      <c r="E136" s="29"/>
      <c r="F136" s="29"/>
      <c r="G136" s="29"/>
      <c r="H136" s="29"/>
    </row>
    <row r="137" spans="1:8">
      <c r="A137" s="29"/>
      <c r="B137" s="29"/>
      <c r="C137" s="29"/>
      <c r="D137" s="29"/>
      <c r="E137" s="29"/>
      <c r="F137" s="29"/>
      <c r="G137" s="29"/>
      <c r="H137" s="29"/>
    </row>
    <row r="138" spans="1:8">
      <c r="A138" s="29"/>
      <c r="B138" s="29"/>
      <c r="C138" s="29"/>
      <c r="D138" s="29"/>
      <c r="E138" s="29"/>
      <c r="F138" s="29"/>
      <c r="G138" s="29"/>
      <c r="H138" s="29"/>
    </row>
    <row r="139" spans="1:8">
      <c r="A139" s="29"/>
      <c r="B139" s="29"/>
      <c r="C139" s="29"/>
      <c r="D139" s="29"/>
      <c r="E139" s="29"/>
      <c r="F139" s="29"/>
      <c r="G139" s="29"/>
      <c r="H139" s="29"/>
    </row>
    <row r="140" spans="1:8">
      <c r="A140" s="29"/>
      <c r="B140" s="29"/>
      <c r="C140" s="29"/>
      <c r="D140" s="29"/>
      <c r="E140" s="29"/>
      <c r="F140" s="29"/>
      <c r="G140" s="29"/>
      <c r="H140" s="29"/>
    </row>
    <row r="141" spans="1:8">
      <c r="A141" s="29"/>
      <c r="B141" s="29"/>
      <c r="C141" s="29"/>
      <c r="D141" s="29"/>
      <c r="E141" s="29"/>
      <c r="F141" s="29"/>
      <c r="G141" s="29"/>
      <c r="H141" s="29"/>
    </row>
    <row r="142" spans="1:8">
      <c r="A142" s="29"/>
      <c r="B142" s="29"/>
      <c r="C142" s="29"/>
      <c r="D142" s="29"/>
      <c r="E142" s="29"/>
      <c r="F142" s="29"/>
      <c r="G142" s="29"/>
      <c r="H142" s="29"/>
    </row>
    <row r="143" spans="1:8">
      <c r="A143" s="29"/>
      <c r="B143" s="29"/>
      <c r="C143" s="29"/>
      <c r="D143" s="29"/>
      <c r="E143" s="29"/>
      <c r="F143" s="29"/>
      <c r="G143" s="29"/>
      <c r="H143" s="29"/>
    </row>
    <row r="144" spans="1:8">
      <c r="A144" s="29"/>
      <c r="B144" s="29"/>
      <c r="C144" s="29"/>
      <c r="D144" s="29"/>
      <c r="E144" s="29"/>
      <c r="F144" s="29"/>
      <c r="G144" s="29"/>
      <c r="H144" s="29"/>
    </row>
    <row r="145" spans="1:8">
      <c r="A145" s="29"/>
      <c r="B145" s="29"/>
      <c r="C145" s="29"/>
      <c r="D145" s="29"/>
      <c r="E145" s="29"/>
      <c r="F145" s="29"/>
      <c r="G145" s="29"/>
      <c r="H145" s="29"/>
    </row>
    <row r="146" spans="1:8">
      <c r="A146" s="29"/>
      <c r="B146" s="29"/>
      <c r="C146" s="29"/>
      <c r="D146" s="29"/>
      <c r="E146" s="29"/>
      <c r="F146" s="29"/>
      <c r="G146" s="29"/>
      <c r="H146" s="29"/>
    </row>
    <row r="147" spans="1:8">
      <c r="A147" s="29"/>
      <c r="B147" s="29"/>
      <c r="C147" s="29"/>
      <c r="D147" s="29"/>
      <c r="E147" s="29"/>
      <c r="F147" s="29"/>
      <c r="G147" s="29"/>
      <c r="H147" s="29"/>
    </row>
    <row r="148" spans="1:8">
      <c r="H148" s="29"/>
    </row>
  </sheetData>
  <sheetProtection insertColumns="0" insertRows="0" selectLockedCells="1" selectUnlockedCells="1"/>
  <mergeCells count="13">
    <mergeCell ref="D1:F1"/>
    <mergeCell ref="D2:F2"/>
    <mergeCell ref="D4:F7"/>
    <mergeCell ref="D16:F20"/>
    <mergeCell ref="D23:F31"/>
    <mergeCell ref="D10:F14"/>
    <mergeCell ref="B2:C2"/>
    <mergeCell ref="B85:C85"/>
    <mergeCell ref="B86:C86"/>
    <mergeCell ref="F89:G128"/>
    <mergeCell ref="D33:F40"/>
    <mergeCell ref="D43:F69"/>
    <mergeCell ref="D70:F83"/>
  </mergeCells>
  <pageMargins left="0.7" right="0.7" top="0.75" bottom="0.75" header="0.3" footer="0.3"/>
  <tableParts count="2">
    <tablePart r:id="rId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637E54A1-7951-4F86-BFF3-EBD7C7A79D17}">
          <x14:formula1>
            <xm:f>EFid!$A$305:$A$340</xm:f>
          </x14:formula1>
          <xm:sqref>B45:B69</xm:sqref>
        </x14:dataValidation>
        <x14:dataValidation type="list" allowBlank="1" showInputMessage="1" showErrorMessage="1" xr:uid="{EAB61934-482B-4ACB-9133-D4C64C289B44}">
          <x14:formula1>
            <xm:f>EFid!$A$243:$A$250</xm:f>
          </x14:formula1>
          <xm:sqref>B33:B40</xm:sqref>
        </x14:dataValidation>
        <x14:dataValidation type="list" allowBlank="1" showInputMessage="1" showErrorMessage="1" xr:uid="{07EF1D71-D19C-421E-8FFD-47357DF0AC7F}">
          <x14:formula1>
            <xm:f>EFid!$A$364:$A$411</xm:f>
          </x14:formula1>
          <xm:sqref>C89:C128</xm:sqref>
        </x14:dataValidation>
        <x14:dataValidation type="list" allowBlank="1" showInputMessage="1" showErrorMessage="1" xr:uid="{63AF505A-E933-405C-9EF1-ADF2E4E28C0B}">
          <x14:formula1>
            <xm:f>EFid!$A$35:$A$46</xm:f>
          </x14:formula1>
          <xm:sqref>B16:B21</xm:sqref>
        </x14:dataValidation>
        <x14:dataValidation type="list" allowBlank="1" showInputMessage="1" showErrorMessage="1" xr:uid="{287C6020-153A-45D1-A5AD-03071F479A0B}">
          <x14:formula1>
            <xm:f>EFid!$A$29:$A$31</xm:f>
          </x14:formula1>
          <xm:sqref>B4:B7</xm:sqref>
        </x14:dataValidation>
        <x14:dataValidation type="list" allowBlank="1" showInputMessage="1" showErrorMessage="1" xr:uid="{4C31A572-2519-437B-A413-9011E8E0A418}">
          <x14:formula1>
            <xm:f>EFid!$A$3:$A$21</xm:f>
          </x14:formula1>
          <xm:sqref>B10:B14</xm:sqref>
        </x14:dataValidation>
        <x14:dataValidation type="list" allowBlank="1" showInputMessage="1" showErrorMessage="1" xr:uid="{47CAB33C-8084-4223-8F48-21CF2B7D5DA1}">
          <x14:formula1>
            <xm:f>EFid!$A$341:$A$360</xm:f>
          </x14:formula1>
          <xm:sqref>B71:B83</xm:sqref>
        </x14:dataValidation>
        <x14:dataValidation type="list" allowBlank="1" showInputMessage="1" showErrorMessage="1" xr:uid="{9529CC9B-88D9-4593-90B8-9E3284658B56}">
          <x14:formula1>
            <xm:f>EFid!$A$128:$A$234</xm:f>
          </x14:formula1>
          <xm:sqref>B23:B31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4FAE8-133D-41C0-A598-2F9B383B3509}">
  <sheetPr codeName="Sheet4">
    <tabColor rgb="FFFFC000"/>
    <pageSetUpPr autoPageBreaks="0"/>
  </sheetPr>
  <dimension ref="A1:V238"/>
  <sheetViews>
    <sheetView showGridLines="0" zoomScale="63" zoomScaleNormal="85" workbookViewId="0">
      <selection activeCell="H82" sqref="H82"/>
    </sheetView>
  </sheetViews>
  <sheetFormatPr defaultColWidth="8.54296875" defaultRowHeight="14.5"/>
  <cols>
    <col min="3" max="3" width="31.453125" customWidth="1"/>
    <col min="4" max="4" width="26.453125" customWidth="1"/>
    <col min="5" max="5" width="45.453125" customWidth="1"/>
    <col min="6" max="6" width="21" hidden="1" customWidth="1"/>
    <col min="7" max="7" width="13.453125" hidden="1" customWidth="1"/>
    <col min="8" max="8" width="26.453125" customWidth="1"/>
    <col min="9" max="9" width="14.54296875" customWidth="1"/>
    <col min="10" max="10" width="34.1796875" customWidth="1"/>
    <col min="11" max="11" width="21.81640625" customWidth="1"/>
    <col min="12" max="12" width="31.453125" customWidth="1"/>
    <col min="13" max="13" width="29.453125" customWidth="1"/>
    <col min="14" max="14" width="18.453125" customWidth="1"/>
  </cols>
  <sheetData>
    <row r="1" spans="1:22" ht="15" thickBot="1">
      <c r="A1" s="29"/>
      <c r="B1" s="29"/>
      <c r="C1" s="29"/>
      <c r="D1" s="29"/>
      <c r="E1" s="29"/>
      <c r="F1" s="29"/>
      <c r="G1" s="29"/>
      <c r="H1" s="29"/>
      <c r="I1" s="29"/>
      <c r="J1" s="29"/>
      <c r="K1" s="29"/>
      <c r="L1" s="29"/>
      <c r="M1" s="29"/>
      <c r="N1" s="29"/>
      <c r="O1" s="29"/>
      <c r="P1" s="29"/>
      <c r="Q1" s="29"/>
      <c r="R1" s="29"/>
      <c r="S1" s="29"/>
      <c r="T1" s="29"/>
    </row>
    <row r="2" spans="1:22" ht="15" thickBot="1">
      <c r="A2" s="29"/>
      <c r="B2" s="29"/>
      <c r="C2" s="1303" t="s">
        <v>405</v>
      </c>
      <c r="D2" s="1308"/>
      <c r="E2" s="1308"/>
      <c r="F2" s="1308"/>
      <c r="G2" s="1308"/>
      <c r="H2" s="1308"/>
      <c r="I2" s="1308"/>
      <c r="J2" s="1308"/>
      <c r="K2" s="1308"/>
      <c r="L2" s="1304"/>
      <c r="M2" s="29"/>
      <c r="N2" s="29"/>
      <c r="O2" s="29"/>
      <c r="P2" s="29"/>
      <c r="Q2" s="29"/>
      <c r="R2" s="29"/>
      <c r="S2" s="29"/>
      <c r="T2" s="29"/>
      <c r="U2" s="29"/>
      <c r="V2" s="29"/>
    </row>
    <row r="3" spans="1:22">
      <c r="A3" s="29"/>
      <c r="B3" s="29"/>
      <c r="C3" s="605"/>
      <c r="D3" s="606"/>
      <c r="E3" s="606"/>
      <c r="F3" s="606"/>
      <c r="G3" s="606"/>
      <c r="H3" s="607"/>
      <c r="I3" s="29"/>
      <c r="J3" s="29"/>
      <c r="K3" s="29"/>
      <c r="L3" s="29"/>
      <c r="M3" s="29"/>
      <c r="N3" s="29"/>
      <c r="O3" s="29"/>
      <c r="P3" s="29"/>
      <c r="Q3" s="29"/>
      <c r="R3" s="29"/>
      <c r="S3" s="29"/>
      <c r="T3" s="29"/>
      <c r="U3" s="29"/>
      <c r="V3" s="29"/>
    </row>
    <row r="4" spans="1:22" ht="18.5">
      <c r="A4" s="29"/>
      <c r="B4" s="29"/>
      <c r="C4" s="812" t="s">
        <v>406</v>
      </c>
      <c r="D4" s="813" t="s">
        <v>1</v>
      </c>
      <c r="E4" s="813" t="s">
        <v>184</v>
      </c>
      <c r="H4" s="21"/>
      <c r="I4" s="29"/>
      <c r="J4" s="29"/>
      <c r="K4" s="29"/>
      <c r="L4" s="29"/>
      <c r="M4" s="29"/>
      <c r="N4" s="29"/>
      <c r="O4" s="29"/>
      <c r="P4" s="29"/>
      <c r="Q4" s="29"/>
      <c r="R4" s="29"/>
      <c r="S4" s="29"/>
      <c r="T4" s="29"/>
      <c r="U4" s="29"/>
      <c r="V4" s="29"/>
    </row>
    <row r="5" spans="1:22" ht="19" thickBot="1">
      <c r="A5" s="29"/>
      <c r="B5" s="29"/>
      <c r="C5" s="610"/>
      <c r="D5" s="1080" t="s">
        <v>407</v>
      </c>
      <c r="E5" s="1080" t="s">
        <v>408</v>
      </c>
      <c r="F5" s="611"/>
      <c r="G5" s="611"/>
      <c r="H5" s="612"/>
      <c r="I5" s="29"/>
      <c r="J5" s="29"/>
      <c r="K5" s="29"/>
      <c r="L5" s="29"/>
      <c r="M5" s="29"/>
      <c r="N5" s="29"/>
      <c r="O5" s="29"/>
      <c r="P5" s="29"/>
      <c r="Q5" s="29"/>
      <c r="R5" s="29"/>
      <c r="S5" s="29"/>
      <c r="T5" s="29"/>
      <c r="U5" s="29"/>
      <c r="V5" s="29"/>
    </row>
    <row r="6" spans="1:22" ht="15" thickBot="1">
      <c r="A6" s="29"/>
      <c r="B6" s="29"/>
      <c r="C6" s="29"/>
      <c r="D6" s="29"/>
      <c r="E6" s="29"/>
      <c r="F6" s="29"/>
      <c r="G6" s="29"/>
      <c r="H6" s="29"/>
      <c r="I6" s="29"/>
      <c r="J6" s="29"/>
      <c r="K6" s="29"/>
      <c r="L6" s="29"/>
      <c r="M6" s="29"/>
      <c r="N6" s="29"/>
      <c r="O6" s="29"/>
      <c r="P6" s="29"/>
      <c r="Q6" s="29"/>
      <c r="R6" s="29"/>
      <c r="S6" s="29"/>
      <c r="T6" s="29"/>
      <c r="U6" s="29"/>
      <c r="V6" s="29"/>
    </row>
    <row r="7" spans="1:22" ht="20.149999999999999" customHeight="1" thickBot="1">
      <c r="A7" s="29"/>
      <c r="B7" s="803"/>
      <c r="C7" s="1309" t="s">
        <v>1</v>
      </c>
      <c r="D7" s="1310"/>
      <c r="E7" s="1310"/>
      <c r="F7" s="1310"/>
      <c r="G7" s="1310"/>
      <c r="H7" s="1311"/>
      <c r="I7" s="803"/>
      <c r="J7" s="1305" t="s">
        <v>409</v>
      </c>
      <c r="K7" s="1306"/>
      <c r="L7" s="1307"/>
      <c r="M7" s="29"/>
      <c r="N7" s="29"/>
      <c r="O7" s="810"/>
      <c r="P7" s="29"/>
      <c r="Q7" s="29"/>
      <c r="R7" s="29"/>
      <c r="S7" s="29"/>
      <c r="T7" s="29"/>
      <c r="U7" s="29"/>
      <c r="V7" s="29"/>
    </row>
    <row r="8" spans="1:22" ht="37.4" customHeight="1" thickBot="1">
      <c r="A8" s="29"/>
      <c r="B8" s="803"/>
      <c r="C8" s="1155" t="s">
        <v>410</v>
      </c>
      <c r="D8" s="1153" t="s">
        <v>411</v>
      </c>
      <c r="E8" s="1153" t="s">
        <v>412</v>
      </c>
      <c r="F8" s="1153" t="s">
        <v>20</v>
      </c>
      <c r="G8" s="1153" t="s">
        <v>19</v>
      </c>
      <c r="H8" s="1154" t="s">
        <v>413</v>
      </c>
      <c r="I8" s="29"/>
      <c r="J8" s="1165" t="str">
        <f>'C-taust'!C206</f>
        <v>Kultuur</v>
      </c>
      <c r="K8" s="1166" t="str">
        <f>'C-taust'!R206</f>
        <v>Keskmine sidumine kultuuriga (t CO2 / ha )</v>
      </c>
      <c r="L8" s="1167" t="s">
        <v>2562</v>
      </c>
      <c r="M8" s="29"/>
      <c r="N8" s="29"/>
      <c r="O8" s="29"/>
      <c r="P8" s="29"/>
      <c r="Q8" s="29"/>
      <c r="R8" s="29"/>
      <c r="S8" s="29"/>
      <c r="T8" s="29"/>
      <c r="U8" s="29"/>
      <c r="V8" s="29"/>
    </row>
    <row r="9" spans="1:22" ht="29.9" customHeight="1">
      <c r="A9" s="29"/>
      <c r="B9" s="29"/>
      <c r="C9" s="1312" t="s">
        <v>414</v>
      </c>
      <c r="D9" s="1314" t="s">
        <v>415</v>
      </c>
      <c r="E9" s="485" t="s">
        <v>416</v>
      </c>
      <c r="F9" s="506"/>
      <c r="G9" s="507"/>
      <c r="H9" s="793">
        <f>Ettev_kalk!BE3/1000</f>
        <v>0</v>
      </c>
      <c r="I9" s="804"/>
      <c r="J9" s="780" t="str">
        <f>'C-taust'!C207</f>
        <v>Talinisu</v>
      </c>
      <c r="K9" s="1171">
        <f>IFERROR(-'C-taust'!R207,"0")</f>
        <v>0</v>
      </c>
      <c r="L9" s="781">
        <f>-'C-taust'!Q207</f>
        <v>0</v>
      </c>
      <c r="M9" s="29"/>
      <c r="N9" s="29"/>
      <c r="O9" s="29"/>
      <c r="P9" s="29"/>
      <c r="Q9" s="29"/>
      <c r="R9" s="29"/>
      <c r="S9" s="29"/>
      <c r="T9" s="29"/>
      <c r="U9" s="29"/>
      <c r="V9" s="29"/>
    </row>
    <row r="10" spans="1:22">
      <c r="A10" s="29"/>
      <c r="B10" s="29"/>
      <c r="C10" s="1313"/>
      <c r="D10" s="1315"/>
      <c r="E10" s="484" t="s">
        <v>417</v>
      </c>
      <c r="F10" s="775">
        <f>Ettev_kalk!AS8</f>
        <v>0</v>
      </c>
      <c r="G10" s="1081" t="s">
        <v>418</v>
      </c>
      <c r="H10" s="787">
        <f>F10*(44/28)*265/1000</f>
        <v>0</v>
      </c>
      <c r="I10" s="29"/>
      <c r="J10" s="782">
        <f>'C-taust'!C208</f>
        <v>0</v>
      </c>
      <c r="K10" s="1172">
        <f>IFERROR(-'C-taust'!R208,"0")</f>
        <v>0</v>
      </c>
      <c r="L10" s="783">
        <f>-'C-taust'!Q208</f>
        <v>0</v>
      </c>
      <c r="M10" s="29"/>
      <c r="N10" s="29"/>
      <c r="O10" s="29"/>
      <c r="P10" s="29"/>
      <c r="Q10" s="29"/>
      <c r="R10" s="29"/>
      <c r="S10" s="29"/>
      <c r="T10" s="29"/>
      <c r="U10" s="29"/>
      <c r="V10" s="29"/>
    </row>
    <row r="11" spans="1:22">
      <c r="A11" s="29"/>
      <c r="B11" s="29"/>
      <c r="C11" s="1313"/>
      <c r="D11" s="1315"/>
      <c r="E11" s="486" t="s">
        <v>419</v>
      </c>
      <c r="F11" s="1082">
        <f>Ettev_kalk!AS80</f>
        <v>0</v>
      </c>
      <c r="G11" s="1083" t="s">
        <v>418</v>
      </c>
      <c r="H11" s="794">
        <f>F11*(44/28)*265/1000</f>
        <v>0</v>
      </c>
      <c r="I11" s="29"/>
      <c r="J11" s="780">
        <f>'C-taust'!C209</f>
        <v>0</v>
      </c>
      <c r="K11" s="1171">
        <f>IFERROR(-'C-taust'!R209,"0")</f>
        <v>0</v>
      </c>
      <c r="L11" s="781">
        <f>-'C-taust'!Q209</f>
        <v>0</v>
      </c>
      <c r="M11" s="29"/>
      <c r="N11" s="29"/>
      <c r="O11" s="29"/>
      <c r="P11" s="29"/>
      <c r="Q11" s="29"/>
      <c r="R11" s="29"/>
      <c r="S11" s="29"/>
      <c r="T11" s="29"/>
      <c r="U11" s="29"/>
      <c r="V11" s="29"/>
    </row>
    <row r="12" spans="1:22">
      <c r="A12" s="29"/>
      <c r="B12" s="29"/>
      <c r="C12" s="1313"/>
      <c r="D12" s="1315"/>
      <c r="E12" s="484" t="s">
        <v>420</v>
      </c>
      <c r="F12" s="775">
        <f>Ettev_kalk!AS90</f>
        <v>0</v>
      </c>
      <c r="G12" s="1081" t="s">
        <v>418</v>
      </c>
      <c r="H12" s="787">
        <f>F12*(44/28)*265/1000</f>
        <v>0</v>
      </c>
      <c r="I12" s="29"/>
      <c r="J12" s="782">
        <f>'C-taust'!C210</f>
        <v>0</v>
      </c>
      <c r="K12" s="1172">
        <f>IFERROR(-'C-taust'!R210,"0")</f>
        <v>0</v>
      </c>
      <c r="L12" s="783">
        <f>-'C-taust'!Q210</f>
        <v>0</v>
      </c>
      <c r="M12" s="29"/>
      <c r="N12" s="29"/>
      <c r="O12" s="29"/>
      <c r="P12" s="29"/>
      <c r="Q12" s="29"/>
      <c r="R12" s="29"/>
      <c r="S12" s="29"/>
      <c r="T12" s="29"/>
      <c r="U12" s="29"/>
      <c r="V12" s="29"/>
    </row>
    <row r="13" spans="1:22">
      <c r="A13" s="29"/>
      <c r="B13" s="29"/>
      <c r="C13" s="1313"/>
      <c r="D13" s="1315"/>
      <c r="E13" s="486" t="s">
        <v>421</v>
      </c>
      <c r="F13" s="1082"/>
      <c r="G13" s="1083"/>
      <c r="H13" s="794">
        <f>Ettev_kalk!AS4/1000</f>
        <v>0</v>
      </c>
      <c r="I13" s="29"/>
      <c r="J13" s="780">
        <f>'C-taust'!C211</f>
        <v>0</v>
      </c>
      <c r="K13" s="1171">
        <f>IFERROR(-'C-taust'!R211,"0")</f>
        <v>0</v>
      </c>
      <c r="L13" s="781">
        <f>-'C-taust'!Q211</f>
        <v>0</v>
      </c>
      <c r="M13" s="29"/>
      <c r="N13" s="29"/>
      <c r="O13" s="29"/>
      <c r="P13" s="29"/>
      <c r="Q13" s="29"/>
      <c r="R13" s="29"/>
      <c r="S13" s="29"/>
      <c r="T13" s="29"/>
      <c r="U13" s="29"/>
      <c r="V13" s="29"/>
    </row>
    <row r="14" spans="1:22">
      <c r="A14" s="29"/>
      <c r="B14" s="29"/>
      <c r="C14" s="1313"/>
      <c r="D14" s="1315"/>
      <c r="E14" s="484" t="s">
        <v>422</v>
      </c>
      <c r="F14" s="775">
        <f>Ettev_kalk!AS70</f>
        <v>0</v>
      </c>
      <c r="G14" s="1081" t="s">
        <v>423</v>
      </c>
      <c r="H14" s="787">
        <f>Ettev_kalk!AS70*(44/12)</f>
        <v>0</v>
      </c>
      <c r="I14" s="29"/>
      <c r="J14" s="782">
        <f>'C-taust'!C212</f>
        <v>0</v>
      </c>
      <c r="K14" s="1172">
        <f>IFERROR(-'C-taust'!R212,"0")</f>
        <v>0</v>
      </c>
      <c r="L14" s="783">
        <f>-'C-taust'!Q212</f>
        <v>0</v>
      </c>
      <c r="M14" s="29"/>
      <c r="N14" s="29"/>
      <c r="O14" s="29"/>
      <c r="P14" s="29"/>
      <c r="Q14" s="29"/>
      <c r="R14" s="29"/>
      <c r="S14" s="29"/>
      <c r="T14" s="29"/>
      <c r="U14" s="29"/>
      <c r="V14" s="29"/>
    </row>
    <row r="15" spans="1:22">
      <c r="A15" s="29"/>
      <c r="B15" s="29"/>
      <c r="C15" s="1313"/>
      <c r="D15" s="1315"/>
      <c r="E15" s="486" t="s">
        <v>424</v>
      </c>
      <c r="F15" s="1082">
        <f>Ettev_kalk!AS74</f>
        <v>0</v>
      </c>
      <c r="G15" s="1083" t="s">
        <v>423</v>
      </c>
      <c r="H15" s="794">
        <f>Ettev_kalk!AS74*(44/12)</f>
        <v>0</v>
      </c>
      <c r="I15" s="29"/>
      <c r="J15" s="780">
        <f>'C-taust'!C213</f>
        <v>0</v>
      </c>
      <c r="K15" s="1171">
        <f>IFERROR(-'C-taust'!R213,"0")</f>
        <v>0</v>
      </c>
      <c r="L15" s="781">
        <f>-'C-taust'!Q213</f>
        <v>0</v>
      </c>
      <c r="M15" s="29"/>
      <c r="N15" s="29"/>
      <c r="O15" s="29"/>
      <c r="P15" s="29"/>
      <c r="Q15" s="29"/>
      <c r="R15" s="29"/>
      <c r="S15" s="29"/>
      <c r="T15" s="29"/>
      <c r="U15" s="29"/>
      <c r="V15" s="29"/>
    </row>
    <row r="16" spans="1:22" ht="15" thickBot="1">
      <c r="A16" s="29"/>
      <c r="B16" s="29"/>
      <c r="C16" s="1313"/>
      <c r="D16" s="1315"/>
      <c r="E16" s="484" t="s">
        <v>425</v>
      </c>
      <c r="F16" s="775"/>
      <c r="G16" s="1081"/>
      <c r="H16" s="787">
        <f>Ettev_kalk!BE8/1000</f>
        <v>0</v>
      </c>
      <c r="I16" s="29"/>
      <c r="J16" s="782">
        <f>'C-taust'!C214</f>
        <v>0</v>
      </c>
      <c r="K16" s="1172">
        <f>IFERROR(-'C-taust'!R214,"0")</f>
        <v>0</v>
      </c>
      <c r="L16" s="783">
        <f>-'C-taust'!Q214</f>
        <v>0</v>
      </c>
      <c r="M16" s="29"/>
      <c r="N16" s="29"/>
      <c r="O16" s="29"/>
      <c r="P16" s="29"/>
      <c r="Q16" s="29"/>
      <c r="R16" s="29"/>
      <c r="S16" s="29"/>
      <c r="T16" s="29"/>
      <c r="U16" s="29"/>
      <c r="V16" s="29"/>
    </row>
    <row r="17" spans="1:22" ht="51" customHeight="1" thickBot="1">
      <c r="A17" s="29"/>
      <c r="B17" s="29"/>
      <c r="C17" s="493" t="s">
        <v>426</v>
      </c>
      <c r="D17" s="500" t="s">
        <v>427</v>
      </c>
      <c r="E17" s="1149" t="s">
        <v>428</v>
      </c>
      <c r="F17" s="504">
        <f>SUM(Ettev_kalk!BA14:BA17)</f>
        <v>0</v>
      </c>
      <c r="G17" s="505" t="s">
        <v>165</v>
      </c>
      <c r="H17" s="795">
        <f>Ettev_kalk!BE13/1000</f>
        <v>0</v>
      </c>
      <c r="I17" s="29"/>
      <c r="J17" s="780">
        <f>'C-taust'!C215</f>
        <v>0</v>
      </c>
      <c r="K17" s="1171">
        <f>IFERROR(-'C-taust'!R215,"0")</f>
        <v>0</v>
      </c>
      <c r="L17" s="781">
        <f>-'C-taust'!Q215</f>
        <v>0</v>
      </c>
      <c r="M17" s="29"/>
      <c r="N17" s="29"/>
      <c r="O17" s="29"/>
      <c r="P17" s="29"/>
      <c r="Q17" s="29"/>
      <c r="R17" s="29"/>
      <c r="S17" s="29"/>
      <c r="T17" s="29"/>
      <c r="U17" s="29"/>
      <c r="V17" s="29"/>
    </row>
    <row r="18" spans="1:22" ht="15" customHeight="1">
      <c r="A18" s="29"/>
      <c r="B18" s="29"/>
      <c r="C18" s="1318" t="s">
        <v>429</v>
      </c>
      <c r="D18" s="1321" t="s">
        <v>430</v>
      </c>
      <c r="E18" s="482" t="s">
        <v>431</v>
      </c>
      <c r="F18" s="1084">
        <f>SUM(Ettev_kalk!BA55:BA61)</f>
        <v>0</v>
      </c>
      <c r="G18" s="1085" t="s">
        <v>110</v>
      </c>
      <c r="H18" s="598">
        <f>Ettev_kalk!BD55/1000</f>
        <v>0</v>
      </c>
      <c r="I18" s="29"/>
      <c r="J18" s="782">
        <f>'C-taust'!C216</f>
        <v>0</v>
      </c>
      <c r="K18" s="1172">
        <f>IFERROR(-'C-taust'!R216,"0")</f>
        <v>0</v>
      </c>
      <c r="L18" s="783">
        <f>-'C-taust'!Q216</f>
        <v>0</v>
      </c>
      <c r="M18" s="29"/>
      <c r="N18" s="29"/>
      <c r="O18" s="29"/>
      <c r="P18" s="29"/>
      <c r="Q18" s="29"/>
      <c r="R18" s="29"/>
      <c r="S18" s="29"/>
      <c r="T18" s="29"/>
      <c r="U18" s="29"/>
      <c r="V18" s="29"/>
    </row>
    <row r="19" spans="1:22">
      <c r="A19" s="29"/>
      <c r="B19" s="29"/>
      <c r="C19" s="1319"/>
      <c r="D19" s="1322"/>
      <c r="E19" s="482" t="s">
        <v>432</v>
      </c>
      <c r="F19" s="1084">
        <f>SUM(Ettev_kalk!BA70:BA77)</f>
        <v>0</v>
      </c>
      <c r="G19" s="1085" t="s">
        <v>110</v>
      </c>
      <c r="H19" s="598">
        <f>Ettev_kalk!BD70/1000</f>
        <v>0</v>
      </c>
      <c r="I19" s="29"/>
      <c r="J19" s="780">
        <f>'C-taust'!C217</f>
        <v>0</v>
      </c>
      <c r="K19" s="1171">
        <f>IFERROR(-'C-taust'!R217,"0")</f>
        <v>0</v>
      </c>
      <c r="L19" s="781">
        <f>-'C-taust'!Q217</f>
        <v>0</v>
      </c>
      <c r="M19" s="29"/>
      <c r="N19" s="29"/>
      <c r="O19" s="29"/>
      <c r="P19" s="29"/>
      <c r="Q19" s="29"/>
      <c r="R19" s="29"/>
      <c r="S19" s="29"/>
      <c r="T19" s="29"/>
      <c r="U19" s="29"/>
      <c r="V19" s="29"/>
    </row>
    <row r="20" spans="1:22">
      <c r="A20" s="29"/>
      <c r="B20" s="29"/>
      <c r="C20" s="1319"/>
      <c r="D20" s="1322"/>
      <c r="E20" s="482" t="s">
        <v>433</v>
      </c>
      <c r="F20" s="1084">
        <f>SUM(Ettev_kalk!BA81:BA87)</f>
        <v>0</v>
      </c>
      <c r="G20" s="1085" t="s">
        <v>110</v>
      </c>
      <c r="H20" s="598">
        <f>Ettev_kalk!BD81/1000</f>
        <v>0</v>
      </c>
      <c r="I20" s="29"/>
      <c r="J20" s="782">
        <f>'C-taust'!C218</f>
        <v>0</v>
      </c>
      <c r="K20" s="1172">
        <f>IFERROR(-'C-taust'!R218,"0")</f>
        <v>0</v>
      </c>
      <c r="L20" s="783">
        <f>-'C-taust'!Q218</f>
        <v>0</v>
      </c>
      <c r="M20" s="29"/>
      <c r="N20" s="29"/>
      <c r="O20" s="29"/>
      <c r="P20" s="29"/>
      <c r="Q20" s="29"/>
      <c r="R20" s="29"/>
      <c r="S20" s="29"/>
      <c r="T20" s="29"/>
      <c r="U20" s="29"/>
      <c r="V20" s="29"/>
    </row>
    <row r="21" spans="1:22" ht="14.9" customHeight="1">
      <c r="A21" s="29"/>
      <c r="B21" s="29"/>
      <c r="C21" s="1319"/>
      <c r="D21" s="1322"/>
      <c r="E21" s="482" t="s">
        <v>434</v>
      </c>
      <c r="F21" s="1084">
        <f>SUM(Ettev_kalk!BA96:BA102)</f>
        <v>0</v>
      </c>
      <c r="G21" s="1085" t="s">
        <v>110</v>
      </c>
      <c r="H21" s="598">
        <f>Ettev_kalk!BD96/1000</f>
        <v>0</v>
      </c>
      <c r="I21" s="29"/>
      <c r="J21" s="780">
        <f>'C-taust'!C219</f>
        <v>0</v>
      </c>
      <c r="K21" s="1171">
        <f>IFERROR(-'C-taust'!R219,"0")</f>
        <v>0</v>
      </c>
      <c r="L21" s="781">
        <f>-'C-taust'!Q219</f>
        <v>0</v>
      </c>
      <c r="M21" s="29"/>
      <c r="N21" s="29"/>
      <c r="O21" s="29"/>
      <c r="P21" s="29"/>
      <c r="Q21" s="29"/>
      <c r="R21" s="29"/>
      <c r="S21" s="29"/>
      <c r="T21" s="29"/>
      <c r="U21" s="29"/>
      <c r="V21" s="29"/>
    </row>
    <row r="22" spans="1:22" ht="14.9" customHeight="1">
      <c r="A22" s="29"/>
      <c r="B22" s="29"/>
      <c r="C22" s="1319"/>
      <c r="D22" s="1322"/>
      <c r="E22" s="482" t="s">
        <v>435</v>
      </c>
      <c r="F22" s="1084">
        <f>Ettev_kalk!BF22</f>
        <v>0</v>
      </c>
      <c r="G22" s="1086" t="s">
        <v>436</v>
      </c>
      <c r="H22" s="598">
        <f>Ettev_kalk!BD21/1000</f>
        <v>0</v>
      </c>
      <c r="I22" s="29"/>
      <c r="J22" s="782">
        <f>'C-taust'!C220</f>
        <v>0</v>
      </c>
      <c r="K22" s="1172">
        <f>IFERROR(-'C-taust'!R220,"0")</f>
        <v>0</v>
      </c>
      <c r="L22" s="783">
        <f>-'C-taust'!Q220</f>
        <v>0</v>
      </c>
      <c r="M22" s="29"/>
      <c r="N22" s="29"/>
      <c r="O22" s="29"/>
      <c r="P22" s="29"/>
      <c r="Q22" s="29"/>
      <c r="R22" s="29"/>
      <c r="S22" s="29"/>
      <c r="T22" s="29"/>
      <c r="U22" s="29"/>
      <c r="V22" s="29"/>
    </row>
    <row r="23" spans="1:22" ht="14.9" customHeight="1">
      <c r="A23" s="29"/>
      <c r="B23" s="29"/>
      <c r="C23" s="1319"/>
      <c r="D23" s="1322"/>
      <c r="E23" s="482" t="s">
        <v>437</v>
      </c>
      <c r="F23" s="1084">
        <f>Ettev_kalk!BF36</f>
        <v>0</v>
      </c>
      <c r="G23" s="1086" t="s">
        <v>438</v>
      </c>
      <c r="H23" s="598">
        <f>Ettev_kalk!BD35/1000</f>
        <v>0</v>
      </c>
      <c r="I23" s="29"/>
      <c r="J23" s="780">
        <f>'C-taust'!C221</f>
        <v>0</v>
      </c>
      <c r="K23" s="1171">
        <f>IFERROR(-'C-taust'!R221,"0")</f>
        <v>0</v>
      </c>
      <c r="L23" s="781">
        <f>-'C-taust'!Q221</f>
        <v>0</v>
      </c>
      <c r="M23" s="29"/>
      <c r="N23" s="29"/>
      <c r="O23" s="29"/>
      <c r="P23" s="29"/>
      <c r="Q23" s="29"/>
      <c r="R23" s="29"/>
      <c r="S23" s="29"/>
      <c r="T23" s="29"/>
      <c r="U23" s="29"/>
      <c r="V23" s="29"/>
    </row>
    <row r="24" spans="1:22" ht="14.9" customHeight="1">
      <c r="A24" s="29"/>
      <c r="B24" s="29"/>
      <c r="C24" s="1319"/>
      <c r="D24" s="1322"/>
      <c r="E24" s="482" t="s">
        <v>95</v>
      </c>
      <c r="F24" s="1084">
        <f>Ettev_kalk!BF41</f>
        <v>0</v>
      </c>
      <c r="G24" s="1086" t="s">
        <v>439</v>
      </c>
      <c r="H24" s="598">
        <f>Ettev_kalk!BD40/1000</f>
        <v>0</v>
      </c>
      <c r="I24" s="29"/>
      <c r="J24" s="782">
        <f>'C-taust'!C222</f>
        <v>0</v>
      </c>
      <c r="K24" s="1172">
        <f>IFERROR(-'C-taust'!R222,"0")</f>
        <v>0</v>
      </c>
      <c r="L24" s="783">
        <f>-'C-taust'!Q222</f>
        <v>0</v>
      </c>
      <c r="M24" s="29"/>
      <c r="N24" s="29"/>
      <c r="O24" s="29"/>
      <c r="P24" s="29"/>
      <c r="Q24" s="29"/>
      <c r="R24" s="29"/>
      <c r="S24" s="29"/>
      <c r="T24" s="29"/>
      <c r="U24" s="29"/>
      <c r="V24" s="29"/>
    </row>
    <row r="25" spans="1:22">
      <c r="A25" s="29"/>
      <c r="B25" s="29"/>
      <c r="C25" s="1319"/>
      <c r="D25" s="1322"/>
      <c r="E25" s="482" t="s">
        <v>98</v>
      </c>
      <c r="F25" s="1084">
        <f>Ettev_kalk!BF45</f>
        <v>0</v>
      </c>
      <c r="G25" s="1086" t="s">
        <v>440</v>
      </c>
      <c r="H25" s="598">
        <f>Ettev_kalk!BD44/1000</f>
        <v>0</v>
      </c>
      <c r="I25" s="29"/>
      <c r="J25" s="780">
        <f>'C-taust'!C223</f>
        <v>0</v>
      </c>
      <c r="K25" s="1171">
        <f>IFERROR(-'C-taust'!R223,"0")</f>
        <v>0</v>
      </c>
      <c r="L25" s="781">
        <f>-'C-taust'!Q223</f>
        <v>0</v>
      </c>
      <c r="M25" s="29"/>
      <c r="N25" s="29"/>
      <c r="O25" s="29"/>
      <c r="P25" s="29"/>
      <c r="Q25" s="29"/>
      <c r="R25" s="29"/>
      <c r="S25" s="29"/>
      <c r="T25" s="29"/>
      <c r="U25" s="29"/>
      <c r="V25" s="29"/>
    </row>
    <row r="26" spans="1:22">
      <c r="A26" s="29"/>
      <c r="B26" s="29"/>
      <c r="C26" s="1319"/>
      <c r="D26" s="1322"/>
      <c r="E26" s="482" t="s">
        <v>441</v>
      </c>
      <c r="F26" s="1084">
        <f>SUM(Ettev_kalk!BA104:BA114)</f>
        <v>0</v>
      </c>
      <c r="G26" s="1086" t="s">
        <v>135</v>
      </c>
      <c r="H26" s="598">
        <f>Ettev_kalk!BD103/1000</f>
        <v>0</v>
      </c>
      <c r="I26" s="29"/>
      <c r="J26" s="782">
        <f>'C-taust'!C224</f>
        <v>0</v>
      </c>
      <c r="K26" s="1172">
        <f>IFERROR(-'C-taust'!R224,"0")</f>
        <v>0</v>
      </c>
      <c r="L26" s="783">
        <f>-'C-taust'!Q224</f>
        <v>0</v>
      </c>
      <c r="M26" s="29"/>
      <c r="N26" s="29"/>
      <c r="O26" s="29"/>
      <c r="P26" s="29"/>
      <c r="Q26" s="29"/>
      <c r="R26" s="29"/>
      <c r="S26" s="29"/>
      <c r="T26" s="29"/>
      <c r="U26" s="29"/>
      <c r="V26" s="29"/>
    </row>
    <row r="27" spans="1:22" ht="15" customHeight="1">
      <c r="A27" s="29"/>
      <c r="B27" s="29"/>
      <c r="C27" s="1319"/>
      <c r="D27" s="1322"/>
      <c r="E27" s="482" t="s">
        <v>442</v>
      </c>
      <c r="F27" s="776">
        <f>Ettev_kalk!BA115</f>
        <v>0</v>
      </c>
      <c r="G27" s="1086" t="s">
        <v>443</v>
      </c>
      <c r="H27" s="796">
        <f>Ettev_kalk!BD115/1000</f>
        <v>0</v>
      </c>
      <c r="I27" s="29"/>
      <c r="J27" s="780">
        <f>'C-taust'!C225</f>
        <v>0</v>
      </c>
      <c r="K27" s="1171">
        <f>IFERROR(-'C-taust'!R225,"0")</f>
        <v>0</v>
      </c>
      <c r="L27" s="781">
        <f>-'C-taust'!Q225</f>
        <v>0</v>
      </c>
      <c r="M27" s="29"/>
      <c r="N27" s="29"/>
      <c r="O27" s="29"/>
      <c r="P27" s="29"/>
      <c r="Q27" s="29"/>
      <c r="R27" s="29"/>
      <c r="S27" s="29"/>
      <c r="T27" s="29"/>
      <c r="U27" s="29"/>
      <c r="V27" s="29"/>
    </row>
    <row r="28" spans="1:22" ht="15" customHeight="1">
      <c r="A28" s="29"/>
      <c r="B28" s="29"/>
      <c r="C28" s="1319"/>
      <c r="D28" s="1323"/>
      <c r="E28" s="482" t="s">
        <v>153</v>
      </c>
      <c r="F28" s="776">
        <f>SUM(Ettev_kalk!BC151:BC160)*1500</f>
        <v>0</v>
      </c>
      <c r="G28" s="1086" t="s">
        <v>165</v>
      </c>
      <c r="H28" s="796">
        <f>Ettev_kalk!BF150/1000</f>
        <v>0</v>
      </c>
      <c r="I28" s="29"/>
      <c r="J28" s="782">
        <f>'C-taust'!C226</f>
        <v>0</v>
      </c>
      <c r="K28" s="1172">
        <f>IFERROR(-'C-taust'!R226,"0")</f>
        <v>0</v>
      </c>
      <c r="L28" s="783">
        <f>-'C-taust'!Q226</f>
        <v>0</v>
      </c>
      <c r="M28" s="29"/>
      <c r="N28" s="29"/>
      <c r="O28" s="29"/>
      <c r="P28" s="29"/>
      <c r="Q28" s="29"/>
      <c r="R28" s="29"/>
      <c r="S28" s="29"/>
      <c r="T28" s="29"/>
      <c r="U28" s="29"/>
      <c r="V28" s="29"/>
    </row>
    <row r="29" spans="1:22" ht="14.9" customHeight="1">
      <c r="A29" s="29"/>
      <c r="B29" s="29"/>
      <c r="C29" s="1319"/>
      <c r="D29" s="1316" t="s">
        <v>444</v>
      </c>
      <c r="E29" s="490" t="s">
        <v>445</v>
      </c>
      <c r="F29" s="465">
        <f>Ettev_kalk!AZ140</f>
        <v>0</v>
      </c>
      <c r="G29" s="508" t="s">
        <v>446</v>
      </c>
      <c r="H29" s="797">
        <f>Ettev_kalk!BC140/1000</f>
        <v>0</v>
      </c>
      <c r="I29" s="29"/>
      <c r="J29" s="780">
        <f>'C-taust'!C227</f>
        <v>0</v>
      </c>
      <c r="K29" s="1171">
        <f>IFERROR(-'C-taust'!R227,"0")</f>
        <v>0</v>
      </c>
      <c r="L29" s="781">
        <f>-'C-taust'!Q227</f>
        <v>0</v>
      </c>
      <c r="M29" s="29"/>
      <c r="N29" s="29"/>
      <c r="O29" s="29"/>
      <c r="P29" s="29"/>
      <c r="Q29" s="29"/>
      <c r="R29" s="29"/>
      <c r="S29" s="29"/>
      <c r="T29" s="29"/>
      <c r="U29" s="29"/>
      <c r="V29" s="29"/>
    </row>
    <row r="30" spans="1:22">
      <c r="A30" s="29"/>
      <c r="B30" s="29"/>
      <c r="C30" s="1319"/>
      <c r="D30" s="1317"/>
      <c r="E30" s="491" t="s">
        <v>447</v>
      </c>
      <c r="F30" s="777"/>
      <c r="G30" s="1087"/>
      <c r="H30" s="798">
        <f>Ettev_kalk!BC144/1000</f>
        <v>0</v>
      </c>
      <c r="I30" s="29"/>
      <c r="J30" s="782">
        <f>'C-taust'!C228</f>
        <v>0</v>
      </c>
      <c r="K30" s="1172">
        <f>IFERROR(-'C-taust'!R228,"0")</f>
        <v>0</v>
      </c>
      <c r="L30" s="783">
        <f>-'C-taust'!Q228</f>
        <v>0</v>
      </c>
      <c r="M30" s="29"/>
      <c r="N30" s="29"/>
      <c r="O30" s="29"/>
      <c r="P30" s="29"/>
      <c r="Q30" s="29"/>
      <c r="R30" s="29"/>
      <c r="S30" s="29"/>
      <c r="T30" s="29"/>
      <c r="U30" s="29"/>
      <c r="V30" s="29"/>
    </row>
    <row r="31" spans="1:22">
      <c r="A31" s="29"/>
      <c r="B31" s="29"/>
      <c r="C31" s="1319"/>
      <c r="D31" s="1324" t="s">
        <v>448</v>
      </c>
      <c r="E31" s="481" t="s">
        <v>449</v>
      </c>
      <c r="F31" s="479"/>
      <c r="G31" s="509"/>
      <c r="H31" s="799">
        <f>Ettev_kalk!BD165/1000</f>
        <v>0</v>
      </c>
      <c r="I31" s="29"/>
      <c r="J31" s="780">
        <f>'C-taust'!C229</f>
        <v>0</v>
      </c>
      <c r="K31" s="1171">
        <f>IFERROR(-'C-taust'!R229,"0")</f>
        <v>0</v>
      </c>
      <c r="L31" s="781">
        <f>-'C-taust'!Q229</f>
        <v>0</v>
      </c>
      <c r="M31" s="29"/>
      <c r="N31" s="29"/>
      <c r="O31" s="29"/>
      <c r="P31" s="29"/>
      <c r="Q31" s="29"/>
      <c r="R31" s="29"/>
      <c r="S31" s="29"/>
      <c r="T31" s="29"/>
      <c r="U31" s="29"/>
      <c r="V31" s="29"/>
    </row>
    <row r="32" spans="1:22">
      <c r="A32" s="29"/>
      <c r="B32" s="29"/>
      <c r="C32" s="1319"/>
      <c r="D32" s="1325"/>
      <c r="E32" s="482" t="s">
        <v>450</v>
      </c>
      <c r="F32" s="776"/>
      <c r="G32" s="1086"/>
      <c r="H32" s="796">
        <f>Ettev_kalk!BD196/1000</f>
        <v>0</v>
      </c>
      <c r="I32" s="29"/>
      <c r="J32" s="782">
        <f>'C-taust'!C230</f>
        <v>0</v>
      </c>
      <c r="K32" s="1172">
        <f>IFERROR(-'C-taust'!R230,"0")</f>
        <v>0</v>
      </c>
      <c r="L32" s="783">
        <f>-'C-taust'!Q230</f>
        <v>0</v>
      </c>
      <c r="M32" s="29"/>
      <c r="N32" s="29"/>
      <c r="O32" s="29"/>
      <c r="P32" s="29"/>
      <c r="Q32" s="29"/>
      <c r="R32" s="29"/>
      <c r="S32" s="29"/>
      <c r="T32" s="29"/>
      <c r="U32" s="29"/>
      <c r="V32" s="29"/>
    </row>
    <row r="33" spans="1:22">
      <c r="A33" s="29"/>
      <c r="B33" s="29"/>
      <c r="C33" s="1319"/>
      <c r="D33" s="1326"/>
      <c r="E33" s="492" t="s">
        <v>451</v>
      </c>
      <c r="F33" s="776"/>
      <c r="G33" s="1086"/>
      <c r="H33" s="796">
        <f>Ettev_kalk!BD245/1000</f>
        <v>0</v>
      </c>
      <c r="I33" s="29"/>
      <c r="J33" s="780">
        <f>'C-taust'!C231</f>
        <v>0</v>
      </c>
      <c r="K33" s="1171">
        <f>IFERROR(-'C-taust'!R231,"0")</f>
        <v>0</v>
      </c>
      <c r="L33" s="781">
        <f>-'C-taust'!Q231</f>
        <v>0</v>
      </c>
      <c r="M33" s="29"/>
      <c r="N33" s="29"/>
      <c r="O33" s="29"/>
      <c r="P33" s="29"/>
      <c r="Q33" s="29"/>
      <c r="R33" s="29"/>
      <c r="S33" s="29"/>
      <c r="T33" s="29"/>
      <c r="U33" s="29"/>
      <c r="V33" s="29"/>
    </row>
    <row r="34" spans="1:22" ht="15" thickBot="1">
      <c r="A34" s="29"/>
      <c r="B34" s="29"/>
      <c r="C34" s="1320"/>
      <c r="D34" s="501" t="s">
        <v>452</v>
      </c>
      <c r="E34" s="488" t="s">
        <v>453</v>
      </c>
      <c r="F34" s="510"/>
      <c r="G34" s="511"/>
      <c r="H34" s="800">
        <f>Ettev_kalk!BC128/1000</f>
        <v>0</v>
      </c>
      <c r="I34" s="29"/>
      <c r="J34" s="782">
        <f>'C-taust'!C232</f>
        <v>0</v>
      </c>
      <c r="K34" s="1172">
        <f>IFERROR(-'C-taust'!R232,"0")</f>
        <v>0</v>
      </c>
      <c r="L34" s="783">
        <f>-'C-taust'!Q232</f>
        <v>0</v>
      </c>
      <c r="M34" s="29"/>
      <c r="N34" s="29"/>
      <c r="O34" s="29"/>
      <c r="P34" s="29"/>
      <c r="Q34" s="29"/>
      <c r="R34" s="29"/>
      <c r="S34" s="29"/>
      <c r="T34" s="29"/>
      <c r="U34" s="29"/>
      <c r="V34" s="29"/>
    </row>
    <row r="35" spans="1:22" ht="14.25" customHeight="1" thickBot="1">
      <c r="A35" s="29"/>
      <c r="B35" s="29"/>
      <c r="C35" s="805"/>
      <c r="D35" s="805"/>
      <c r="E35" s="806"/>
      <c r="F35" s="29"/>
      <c r="G35" s="468"/>
      <c r="H35" s="29"/>
      <c r="I35" s="29"/>
      <c r="J35" s="780">
        <f>'C-taust'!C233</f>
        <v>0</v>
      </c>
      <c r="K35" s="1171">
        <f>IFERROR(-'C-taust'!R233,"0")</f>
        <v>0</v>
      </c>
      <c r="L35" s="781">
        <f>-'C-taust'!Q233</f>
        <v>0</v>
      </c>
      <c r="M35" s="29"/>
      <c r="N35" s="29"/>
      <c r="O35" s="29"/>
      <c r="P35" s="29"/>
      <c r="Q35" s="29"/>
      <c r="R35" s="29"/>
      <c r="S35" s="29"/>
      <c r="T35" s="29"/>
      <c r="U35" s="29"/>
      <c r="V35" s="29"/>
    </row>
    <row r="36" spans="1:22" ht="20" thickBot="1">
      <c r="A36" s="29"/>
      <c r="B36" s="29"/>
      <c r="C36" s="831" t="s">
        <v>184</v>
      </c>
      <c r="D36" s="832"/>
      <c r="E36" s="832"/>
      <c r="F36" s="832"/>
      <c r="G36" s="832"/>
      <c r="H36" s="833"/>
      <c r="I36" s="29"/>
      <c r="J36" s="782">
        <f>'C-taust'!C234</f>
        <v>0</v>
      </c>
      <c r="K36" s="1172">
        <f>IFERROR(-'C-taust'!R234,"0")</f>
        <v>0</v>
      </c>
      <c r="L36" s="783">
        <f>-'C-taust'!Q234</f>
        <v>0</v>
      </c>
      <c r="M36" s="29"/>
      <c r="N36" s="29"/>
      <c r="O36" s="29"/>
      <c r="P36" s="29"/>
      <c r="Q36" s="29"/>
      <c r="R36" s="29"/>
      <c r="S36" s="29"/>
      <c r="T36" s="29"/>
      <c r="U36" s="29"/>
      <c r="V36" s="29"/>
    </row>
    <row r="37" spans="1:22" ht="15" thickBot="1">
      <c r="A37" s="29"/>
      <c r="B37" s="29"/>
      <c r="C37" s="1152" t="s">
        <v>410</v>
      </c>
      <c r="D37" s="1150" t="s">
        <v>411</v>
      </c>
      <c r="E37" s="1150" t="s">
        <v>412</v>
      </c>
      <c r="F37" s="1150" t="s">
        <v>20</v>
      </c>
      <c r="G37" s="1150" t="s">
        <v>19</v>
      </c>
      <c r="H37" s="1151" t="s">
        <v>413</v>
      </c>
      <c r="I37" s="29"/>
      <c r="J37" s="780">
        <f>'C-taust'!C235</f>
        <v>0</v>
      </c>
      <c r="K37" s="1171">
        <f>IFERROR(-'C-taust'!R235,"0")</f>
        <v>0</v>
      </c>
      <c r="L37" s="781">
        <f>-'C-taust'!Q235</f>
        <v>0</v>
      </c>
      <c r="M37" s="29"/>
      <c r="N37" s="29"/>
      <c r="O37" s="29"/>
      <c r="P37" s="29"/>
      <c r="Q37" s="29"/>
      <c r="R37" s="29"/>
      <c r="S37" s="29"/>
      <c r="T37" s="29"/>
      <c r="U37" s="29"/>
      <c r="V37" s="29"/>
    </row>
    <row r="38" spans="1:22">
      <c r="A38" s="29"/>
      <c r="B38" s="29"/>
      <c r="C38" s="1327" t="s">
        <v>454</v>
      </c>
      <c r="D38" s="834"/>
      <c r="E38" s="514" t="s">
        <v>185</v>
      </c>
      <c r="F38" s="475"/>
      <c r="G38" s="475"/>
      <c r="H38" s="785"/>
      <c r="I38" s="29"/>
      <c r="J38" s="782">
        <f>'C-taust'!C236</f>
        <v>0</v>
      </c>
      <c r="K38" s="1172">
        <f>IFERROR(-'C-taust'!R236,"0")</f>
        <v>0</v>
      </c>
      <c r="L38" s="783">
        <f>-'C-taust'!Q236</f>
        <v>0</v>
      </c>
      <c r="M38" s="29"/>
      <c r="N38" s="29"/>
      <c r="O38" s="29"/>
      <c r="P38" s="29"/>
      <c r="Q38" s="29"/>
      <c r="R38" s="29"/>
      <c r="S38" s="29"/>
      <c r="T38" s="29"/>
      <c r="U38" s="29"/>
      <c r="V38" s="29"/>
    </row>
    <row r="39" spans="1:22">
      <c r="A39" s="29"/>
      <c r="B39" s="29"/>
      <c r="C39" s="1328"/>
      <c r="D39" s="835"/>
      <c r="E39" s="484" t="s">
        <v>455</v>
      </c>
      <c r="F39" s="28"/>
      <c r="G39" s="28"/>
      <c r="H39" s="784">
        <f>Ettev_kalk!BU61/1000</f>
        <v>0</v>
      </c>
      <c r="I39" s="29"/>
      <c r="J39" s="780">
        <f>'C-taust'!C237</f>
        <v>0</v>
      </c>
      <c r="K39" s="1171">
        <f>IFERROR(-'C-taust'!R237,"0")</f>
        <v>0</v>
      </c>
      <c r="L39" s="781">
        <f>-'C-taust'!Q237</f>
        <v>0</v>
      </c>
      <c r="M39" s="29"/>
      <c r="N39" s="29"/>
      <c r="O39" s="29"/>
      <c r="P39" s="29"/>
      <c r="Q39" s="29"/>
      <c r="R39" s="29"/>
      <c r="S39" s="29"/>
      <c r="T39" s="29"/>
      <c r="U39" s="29"/>
      <c r="V39" s="29"/>
    </row>
    <row r="40" spans="1:22">
      <c r="A40" s="29"/>
      <c r="B40" s="29"/>
      <c r="C40" s="1328"/>
      <c r="D40" s="835"/>
      <c r="E40" s="484" t="s">
        <v>456</v>
      </c>
      <c r="F40" s="28">
        <f>Ettev_kalk!E317</f>
        <v>0</v>
      </c>
      <c r="G40" s="28" t="s">
        <v>457</v>
      </c>
      <c r="H40" s="784">
        <f>F40*265/1000</f>
        <v>0</v>
      </c>
      <c r="I40" s="804"/>
      <c r="J40" s="782">
        <f>'C-taust'!C238</f>
        <v>0</v>
      </c>
      <c r="K40" s="1172">
        <f>IFERROR(-'C-taust'!R238,"0")</f>
        <v>0</v>
      </c>
      <c r="L40" s="783">
        <f>-'C-taust'!Q238</f>
        <v>0</v>
      </c>
      <c r="M40" s="29"/>
      <c r="N40" s="29"/>
      <c r="O40" s="29"/>
      <c r="P40" s="29"/>
      <c r="Q40" s="29"/>
      <c r="R40" s="29"/>
      <c r="S40" s="29"/>
      <c r="T40" s="29"/>
      <c r="U40" s="29"/>
      <c r="V40" s="29"/>
    </row>
    <row r="41" spans="1:22">
      <c r="A41" s="29"/>
      <c r="B41" s="29"/>
      <c r="C41" s="1328"/>
      <c r="D41" s="835"/>
      <c r="E41" s="484" t="s">
        <v>458</v>
      </c>
      <c r="F41" s="28">
        <f>Ettev_kalk!E309</f>
        <v>0</v>
      </c>
      <c r="G41" s="28" t="s">
        <v>457</v>
      </c>
      <c r="H41" s="784">
        <f>F41*265/1000</f>
        <v>0</v>
      </c>
      <c r="I41" s="29"/>
      <c r="J41" s="780">
        <f>'C-taust'!C239</f>
        <v>0</v>
      </c>
      <c r="K41" s="1171">
        <f>IFERROR(-'C-taust'!R239,"0")</f>
        <v>0</v>
      </c>
      <c r="L41" s="781">
        <f>-'C-taust'!Q239</f>
        <v>0</v>
      </c>
      <c r="M41" s="29"/>
      <c r="N41" s="29"/>
      <c r="O41" s="29"/>
      <c r="P41" s="29"/>
      <c r="Q41" s="29"/>
      <c r="R41" s="29"/>
      <c r="S41" s="29"/>
      <c r="T41" s="29"/>
      <c r="U41" s="29"/>
      <c r="V41" s="29"/>
    </row>
    <row r="42" spans="1:22">
      <c r="A42" s="29"/>
      <c r="B42" s="29"/>
      <c r="C42" s="1328"/>
      <c r="D42" s="835"/>
      <c r="E42" s="484" t="s">
        <v>459</v>
      </c>
      <c r="F42" s="28">
        <f>Ettev_kalk!E320</f>
        <v>0</v>
      </c>
      <c r="G42" s="28" t="s">
        <v>457</v>
      </c>
      <c r="H42" s="784">
        <f>F42*265/1000</f>
        <v>0</v>
      </c>
      <c r="I42" s="29"/>
      <c r="J42" s="782">
        <f>'C-taust'!C240</f>
        <v>0</v>
      </c>
      <c r="K42" s="1172">
        <f>IFERROR(-'C-taust'!R240,"0")</f>
        <v>0</v>
      </c>
      <c r="L42" s="783">
        <f>-'C-taust'!Q240</f>
        <v>0</v>
      </c>
      <c r="M42" s="29"/>
      <c r="N42" s="29"/>
      <c r="O42" s="29"/>
      <c r="P42" s="29"/>
      <c r="Q42" s="29"/>
      <c r="R42" s="29"/>
      <c r="S42" s="29"/>
      <c r="T42" s="29"/>
      <c r="U42" s="29"/>
      <c r="V42" s="29"/>
    </row>
    <row r="43" spans="1:22">
      <c r="A43" s="29"/>
      <c r="B43" s="29"/>
      <c r="C43" s="1328"/>
      <c r="D43" s="835"/>
      <c r="E43" s="484" t="s">
        <v>460</v>
      </c>
      <c r="F43" s="28">
        <f>Ettev_kalk!E303</f>
        <v>0</v>
      </c>
      <c r="G43" s="28" t="s">
        <v>461</v>
      </c>
      <c r="H43" s="784">
        <f>F43*28/1000</f>
        <v>0</v>
      </c>
      <c r="I43" s="29"/>
      <c r="J43" s="780">
        <f>'C-taust'!C241</f>
        <v>0</v>
      </c>
      <c r="K43" s="1171">
        <f>IFERROR(-'C-taust'!R241,"0")</f>
        <v>0</v>
      </c>
      <c r="L43" s="781">
        <f>-'C-taust'!Q241</f>
        <v>0</v>
      </c>
      <c r="M43" s="29"/>
      <c r="N43" s="29"/>
      <c r="O43" s="29"/>
      <c r="P43" s="29"/>
      <c r="Q43" s="29"/>
      <c r="R43" s="29"/>
      <c r="S43" s="29"/>
      <c r="T43" s="29"/>
      <c r="U43" s="29"/>
      <c r="V43" s="29"/>
    </row>
    <row r="44" spans="1:22">
      <c r="A44" s="29"/>
      <c r="B44" s="29"/>
      <c r="C44" s="1328"/>
      <c r="D44" s="835"/>
      <c r="E44" s="484" t="s">
        <v>462</v>
      </c>
      <c r="F44" s="28">
        <f>Ettev_kalk!E289</f>
        <v>0</v>
      </c>
      <c r="G44" s="28" t="s">
        <v>461</v>
      </c>
      <c r="H44" s="784">
        <f>F44*28/1000</f>
        <v>0</v>
      </c>
      <c r="I44" s="29"/>
      <c r="J44" s="782">
        <f>'C-taust'!C242</f>
        <v>0</v>
      </c>
      <c r="K44" s="1172">
        <f>IFERROR(-'C-taust'!R242,"0")</f>
        <v>0</v>
      </c>
      <c r="L44" s="783">
        <f>-'C-taust'!Q242</f>
        <v>0</v>
      </c>
      <c r="M44" s="29"/>
      <c r="N44" s="29"/>
      <c r="O44" s="29"/>
      <c r="P44" s="29"/>
      <c r="Q44" s="29"/>
      <c r="R44" s="29"/>
      <c r="S44" s="29"/>
      <c r="T44" s="29"/>
      <c r="U44" s="29"/>
      <c r="V44" s="29"/>
    </row>
    <row r="45" spans="1:22">
      <c r="A45" s="29"/>
      <c r="B45" s="29"/>
      <c r="C45" s="1328"/>
      <c r="D45" s="835"/>
      <c r="E45" s="513" t="s">
        <v>463</v>
      </c>
      <c r="F45" s="28"/>
      <c r="G45" s="28"/>
      <c r="H45" s="786">
        <f>Ettev_kalk!BU58/1000</f>
        <v>0</v>
      </c>
      <c r="I45" s="29"/>
      <c r="J45" s="780">
        <f>'C-taust'!C243</f>
        <v>0</v>
      </c>
      <c r="K45" s="1171">
        <f>IFERROR(-'C-taust'!R243,"0")</f>
        <v>0</v>
      </c>
      <c r="L45" s="781">
        <f>-'C-taust'!Q243</f>
        <v>0</v>
      </c>
      <c r="M45" s="29"/>
      <c r="N45" s="29"/>
      <c r="O45" s="29"/>
      <c r="P45" s="29"/>
      <c r="Q45" s="29"/>
      <c r="R45" s="29"/>
      <c r="S45" s="29"/>
      <c r="T45" s="29"/>
      <c r="U45" s="29"/>
      <c r="V45" s="29"/>
    </row>
    <row r="46" spans="1:22">
      <c r="A46" s="29"/>
      <c r="B46" s="29"/>
      <c r="C46" s="1328"/>
      <c r="D46" s="835"/>
      <c r="E46" s="514" t="s">
        <v>180</v>
      </c>
      <c r="F46" s="475"/>
      <c r="G46" s="475"/>
      <c r="H46" s="785"/>
      <c r="I46" s="29"/>
      <c r="J46" s="782">
        <f>'C-taust'!C244</f>
        <v>0</v>
      </c>
      <c r="K46" s="1172">
        <f>IFERROR(-'C-taust'!R244,"0")</f>
        <v>0</v>
      </c>
      <c r="L46" s="783">
        <f>-'C-taust'!Q244</f>
        <v>0</v>
      </c>
      <c r="M46" s="29"/>
      <c r="N46" s="29"/>
      <c r="O46" s="29"/>
      <c r="P46" s="29"/>
      <c r="Q46" s="29"/>
      <c r="R46" s="29"/>
      <c r="S46" s="29"/>
      <c r="T46" s="29"/>
      <c r="U46" s="29"/>
      <c r="V46" s="29"/>
    </row>
    <row r="47" spans="1:22">
      <c r="A47" s="29"/>
      <c r="B47" s="29"/>
      <c r="C47" s="1328"/>
      <c r="D47" s="835"/>
      <c r="E47" s="484" t="s">
        <v>455</v>
      </c>
      <c r="F47" s="28"/>
      <c r="G47" s="28"/>
      <c r="H47" s="784">
        <f>Ettev_kalk!BU7/1000</f>
        <v>0</v>
      </c>
      <c r="I47" s="29"/>
      <c r="J47" s="780">
        <f>'C-taust'!C245</f>
        <v>0</v>
      </c>
      <c r="K47" s="1171">
        <f>IFERROR(-'C-taust'!R245,"0")</f>
        <v>0</v>
      </c>
      <c r="L47" s="781">
        <f>-'C-taust'!Q245</f>
        <v>0</v>
      </c>
      <c r="M47" s="29"/>
      <c r="N47" s="29"/>
      <c r="O47" s="29"/>
      <c r="P47" s="29"/>
      <c r="Q47" s="29"/>
      <c r="R47" s="29"/>
      <c r="S47" s="29"/>
      <c r="T47" s="29"/>
      <c r="U47" s="29"/>
      <c r="V47" s="29"/>
    </row>
    <row r="48" spans="1:22">
      <c r="A48" s="29"/>
      <c r="B48" s="29"/>
      <c r="C48" s="1328"/>
      <c r="D48" s="835"/>
      <c r="E48" s="484" t="s">
        <v>456</v>
      </c>
      <c r="F48" s="28">
        <f>Ettev_kalk!E394</f>
        <v>0</v>
      </c>
      <c r="G48" s="28" t="s">
        <v>457</v>
      </c>
      <c r="H48" s="784">
        <f>F48*265/1000</f>
        <v>0</v>
      </c>
      <c r="I48" s="29"/>
      <c r="J48" s="782">
        <f>'C-taust'!C246</f>
        <v>0</v>
      </c>
      <c r="K48" s="1172">
        <f>IFERROR(-'C-taust'!R246,"0")</f>
        <v>0</v>
      </c>
      <c r="L48" s="783">
        <f>-'C-taust'!Q246</f>
        <v>0</v>
      </c>
      <c r="M48" s="29"/>
      <c r="N48" s="29"/>
      <c r="O48" s="29"/>
      <c r="P48" s="29"/>
      <c r="Q48" s="29"/>
      <c r="R48" s="29"/>
      <c r="S48" s="29"/>
      <c r="T48" s="29"/>
      <c r="U48" s="29"/>
      <c r="V48" s="29"/>
    </row>
    <row r="49" spans="1:22" ht="15" thickBot="1">
      <c r="A49" s="29"/>
      <c r="B49" s="29"/>
      <c r="C49" s="1328"/>
      <c r="D49" s="835"/>
      <c r="E49" s="484" t="s">
        <v>458</v>
      </c>
      <c r="F49" s="28">
        <f>Ettev_kalk!E386</f>
        <v>0</v>
      </c>
      <c r="G49" s="28" t="s">
        <v>457</v>
      </c>
      <c r="H49" s="784">
        <f>F49*265/1000</f>
        <v>0</v>
      </c>
      <c r="I49" s="29"/>
      <c r="J49" s="1168"/>
      <c r="K49" s="1169" t="s">
        <v>464</v>
      </c>
      <c r="L49" s="1170">
        <f>SUM(L9:L48)</f>
        <v>0</v>
      </c>
      <c r="M49" s="29"/>
      <c r="N49" s="29"/>
      <c r="O49" s="29"/>
      <c r="P49" s="29"/>
      <c r="Q49" s="29"/>
      <c r="R49" s="29"/>
      <c r="S49" s="29"/>
      <c r="T49" s="29"/>
      <c r="U49" s="29"/>
      <c r="V49" s="29"/>
    </row>
    <row r="50" spans="1:22">
      <c r="A50" s="29"/>
      <c r="B50" s="29"/>
      <c r="C50" s="1328"/>
      <c r="D50" s="835"/>
      <c r="E50" s="484" t="s">
        <v>459</v>
      </c>
      <c r="F50" s="28">
        <f>Ettev_kalk!E397</f>
        <v>0</v>
      </c>
      <c r="G50" s="28" t="s">
        <v>457</v>
      </c>
      <c r="H50" s="784">
        <f>F50*265/1000</f>
        <v>0</v>
      </c>
      <c r="I50" s="29"/>
      <c r="M50" s="29"/>
      <c r="N50" s="29"/>
      <c r="O50" s="29"/>
      <c r="P50" s="29"/>
      <c r="Q50" s="29"/>
      <c r="R50" s="29"/>
      <c r="S50" s="29"/>
      <c r="T50" s="29"/>
      <c r="U50" s="29"/>
      <c r="V50" s="29"/>
    </row>
    <row r="51" spans="1:22">
      <c r="A51" s="29"/>
      <c r="B51" s="29"/>
      <c r="C51" s="1328"/>
      <c r="D51" s="835"/>
      <c r="E51" s="484" t="s">
        <v>460</v>
      </c>
      <c r="F51" s="28">
        <f>Ettev_kalk!E380</f>
        <v>0</v>
      </c>
      <c r="G51" s="28" t="s">
        <v>461</v>
      </c>
      <c r="H51" s="784">
        <f>F51*28/1000</f>
        <v>0</v>
      </c>
      <c r="I51" s="29"/>
      <c r="J51" s="29"/>
      <c r="K51" s="467"/>
      <c r="L51" s="809"/>
      <c r="M51" s="29"/>
      <c r="N51" s="29"/>
      <c r="O51" s="29"/>
      <c r="P51" s="29"/>
      <c r="Q51" s="29"/>
      <c r="R51" s="29"/>
      <c r="S51" s="29"/>
      <c r="T51" s="29"/>
      <c r="U51" s="29"/>
      <c r="V51" s="29"/>
    </row>
    <row r="52" spans="1:22">
      <c r="A52" s="29"/>
      <c r="B52" s="29"/>
      <c r="C52" s="1328"/>
      <c r="D52" s="835"/>
      <c r="E52" s="484" t="s">
        <v>462</v>
      </c>
      <c r="F52" s="28">
        <f>Ettev_kalk!E366</f>
        <v>0</v>
      </c>
      <c r="G52" s="28" t="s">
        <v>461</v>
      </c>
      <c r="H52" s="784">
        <f>F52*28/1000</f>
        <v>0</v>
      </c>
      <c r="I52" s="29"/>
      <c r="J52" s="29"/>
      <c r="K52" s="29"/>
      <c r="L52" s="29"/>
      <c r="M52" s="29"/>
      <c r="N52" s="29"/>
      <c r="O52" s="29"/>
      <c r="P52" s="29"/>
      <c r="Q52" s="29"/>
      <c r="R52" s="29"/>
      <c r="S52" s="29"/>
      <c r="T52" s="29"/>
      <c r="U52" s="29"/>
      <c r="V52" s="29"/>
    </row>
    <row r="53" spans="1:22" ht="15" thickBot="1">
      <c r="A53" s="29"/>
      <c r="B53" s="29"/>
      <c r="C53" s="1328"/>
      <c r="D53" s="835"/>
      <c r="E53" s="513" t="s">
        <v>463</v>
      </c>
      <c r="F53" s="28"/>
      <c r="G53" s="177"/>
      <c r="H53" s="784">
        <f>Ettev_kalk!BU3/1000</f>
        <v>0</v>
      </c>
      <c r="I53" s="29"/>
      <c r="J53" s="29"/>
      <c r="K53" s="29"/>
      <c r="L53" s="29"/>
      <c r="M53" s="29"/>
      <c r="N53" s="29"/>
      <c r="O53" s="29"/>
      <c r="P53" s="29"/>
      <c r="Q53" s="29"/>
      <c r="R53" s="29"/>
      <c r="S53" s="29"/>
      <c r="T53" s="29"/>
      <c r="U53" s="29"/>
      <c r="V53" s="29"/>
    </row>
    <row r="54" spans="1:22" ht="15" thickBot="1">
      <c r="A54" s="29"/>
      <c r="B54" s="29"/>
      <c r="C54" s="1328"/>
      <c r="D54" s="835"/>
      <c r="E54" s="512" t="s">
        <v>178</v>
      </c>
      <c r="F54" s="476"/>
      <c r="G54" s="476"/>
      <c r="H54" s="477"/>
      <c r="I54" s="29"/>
      <c r="J54" s="1303" t="s">
        <v>465</v>
      </c>
      <c r="K54" s="1304"/>
      <c r="L54" s="29"/>
      <c r="M54" s="1303" t="s">
        <v>466</v>
      </c>
      <c r="N54" s="1304"/>
      <c r="O54" s="29"/>
      <c r="P54" s="29"/>
      <c r="Q54" s="29"/>
      <c r="R54" s="29"/>
      <c r="S54" s="29"/>
      <c r="T54" s="29"/>
      <c r="U54" s="29"/>
      <c r="V54" s="29"/>
    </row>
    <row r="55" spans="1:22" ht="15" thickBot="1">
      <c r="A55" s="29"/>
      <c r="B55" s="29"/>
      <c r="C55" s="1328"/>
      <c r="D55" s="835"/>
      <c r="E55" s="484" t="s">
        <v>455</v>
      </c>
      <c r="F55" s="28"/>
      <c r="G55" s="28"/>
      <c r="H55" s="784">
        <f>Ettev_kalk!BM7/1000</f>
        <v>0</v>
      </c>
      <c r="I55" s="29"/>
      <c r="J55" s="29"/>
      <c r="K55" s="29"/>
      <c r="L55" s="29"/>
      <c r="M55" s="1078"/>
      <c r="N55" s="1079" t="s">
        <v>467</v>
      </c>
      <c r="O55" s="29"/>
      <c r="P55" s="29"/>
      <c r="Q55" s="29"/>
      <c r="R55" s="29"/>
      <c r="S55" s="29"/>
      <c r="T55" s="29"/>
      <c r="U55" s="29"/>
      <c r="V55" s="29"/>
    </row>
    <row r="56" spans="1:22" ht="15" thickBot="1">
      <c r="A56" s="29"/>
      <c r="B56" s="29"/>
      <c r="C56" s="1328"/>
      <c r="D56" s="835"/>
      <c r="E56" s="484" t="s">
        <v>456</v>
      </c>
      <c r="F56" s="28">
        <f>Ettev_kalk!E165</f>
        <v>0</v>
      </c>
      <c r="G56" s="28" t="s">
        <v>457</v>
      </c>
      <c r="H56" s="784">
        <f>F56*265/1000</f>
        <v>0</v>
      </c>
      <c r="I56" s="29"/>
      <c r="J56" s="801" t="s">
        <v>1</v>
      </c>
      <c r="K56" s="650" t="s">
        <v>468</v>
      </c>
      <c r="L56" s="29"/>
      <c r="M56" s="80" t="s">
        <v>469</v>
      </c>
      <c r="N56" s="778">
        <f>SUM(H9:H16,H39:H86,H191:H192)</f>
        <v>0</v>
      </c>
      <c r="O56" s="29"/>
      <c r="P56" s="29"/>
      <c r="Q56" s="29"/>
      <c r="R56" s="29"/>
      <c r="S56" s="29"/>
      <c r="T56" s="29"/>
      <c r="U56" s="29"/>
      <c r="V56" s="29"/>
    </row>
    <row r="57" spans="1:22">
      <c r="A57" s="29"/>
      <c r="B57" s="29"/>
      <c r="C57" s="1328"/>
      <c r="D57" s="835"/>
      <c r="E57" s="484" t="s">
        <v>458</v>
      </c>
      <c r="F57" s="28">
        <f>Ettev_kalk!E157</f>
        <v>0</v>
      </c>
      <c r="G57" s="28" t="s">
        <v>457</v>
      </c>
      <c r="H57" s="784">
        <f>F57*265/1000</f>
        <v>0</v>
      </c>
      <c r="I57" s="29"/>
      <c r="J57" s="80" t="s">
        <v>469</v>
      </c>
      <c r="K57" s="778">
        <f>SUM(H9:H16)</f>
        <v>0</v>
      </c>
      <c r="L57" s="29"/>
      <c r="M57" s="80" t="s">
        <v>470</v>
      </c>
      <c r="N57" s="778">
        <f>SUM(H17,H87:H100,H193:H194)</f>
        <v>0</v>
      </c>
      <c r="O57" s="29"/>
      <c r="P57" s="29"/>
      <c r="Q57" s="29"/>
      <c r="R57" s="29"/>
      <c r="S57" s="29"/>
      <c r="T57" s="29"/>
      <c r="U57" s="29"/>
      <c r="V57" s="29"/>
    </row>
    <row r="58" spans="1:22">
      <c r="A58" s="29"/>
      <c r="B58" s="29"/>
      <c r="C58" s="1328"/>
      <c r="D58" s="835"/>
      <c r="E58" s="484" t="s">
        <v>459</v>
      </c>
      <c r="F58" s="28">
        <f>Ettev_kalk!E168</f>
        <v>0</v>
      </c>
      <c r="G58" s="28" t="s">
        <v>457</v>
      </c>
      <c r="H58" s="784">
        <f>F58*265/1000</f>
        <v>0</v>
      </c>
      <c r="I58" s="29"/>
      <c r="J58" s="80" t="s">
        <v>470</v>
      </c>
      <c r="K58" s="778">
        <f>SUM(H17)</f>
        <v>0</v>
      </c>
      <c r="L58" s="29"/>
      <c r="M58" s="80" t="s">
        <v>471</v>
      </c>
      <c r="N58" s="778">
        <f>SUM(H18:H34,H101:H186,H195:H199)</f>
        <v>0</v>
      </c>
      <c r="O58" s="29"/>
      <c r="P58" s="29"/>
      <c r="Q58" s="29"/>
      <c r="R58" s="29"/>
      <c r="S58" s="29"/>
      <c r="T58" s="29"/>
      <c r="U58" s="29"/>
      <c r="V58" s="29"/>
    </row>
    <row r="59" spans="1:22" ht="15" thickBot="1">
      <c r="A59" s="29"/>
      <c r="B59" s="29"/>
      <c r="C59" s="1328"/>
      <c r="D59" s="835"/>
      <c r="E59" s="484" t="s">
        <v>460</v>
      </c>
      <c r="F59" s="28">
        <f>Ettev_kalk!E151</f>
        <v>0</v>
      </c>
      <c r="G59" s="28" t="s">
        <v>461</v>
      </c>
      <c r="H59" s="784">
        <f>F59*28/1000</f>
        <v>0</v>
      </c>
      <c r="I59" s="29"/>
      <c r="J59" s="80" t="s">
        <v>471</v>
      </c>
      <c r="K59" s="778">
        <f>SUM(H18:H34)</f>
        <v>0</v>
      </c>
      <c r="L59" s="29"/>
      <c r="M59" s="629" t="s">
        <v>408</v>
      </c>
      <c r="N59" s="779">
        <f>L49</f>
        <v>0</v>
      </c>
      <c r="O59" s="29"/>
      <c r="P59" s="29"/>
      <c r="Q59" s="29"/>
      <c r="R59" s="29"/>
      <c r="S59" s="29"/>
      <c r="T59" s="29"/>
      <c r="U59" s="29"/>
      <c r="V59" s="29"/>
    </row>
    <row r="60" spans="1:22" ht="15" thickBot="1">
      <c r="A60" s="29"/>
      <c r="B60" s="29"/>
      <c r="C60" s="1328"/>
      <c r="D60" s="835"/>
      <c r="E60" s="513" t="s">
        <v>463</v>
      </c>
      <c r="F60" s="177"/>
      <c r="G60" s="177"/>
      <c r="H60" s="784">
        <f>Ettev_kalk!BM3/1000</f>
        <v>0</v>
      </c>
      <c r="I60" s="29"/>
      <c r="J60" s="629" t="s">
        <v>408</v>
      </c>
      <c r="K60" s="779">
        <f>L49</f>
        <v>0</v>
      </c>
      <c r="L60" s="29"/>
      <c r="M60" s="29"/>
      <c r="N60" s="29"/>
      <c r="O60" s="29"/>
      <c r="P60" s="29"/>
      <c r="Q60" s="29"/>
      <c r="R60" s="29"/>
      <c r="S60" s="29"/>
      <c r="T60" s="29"/>
      <c r="U60" s="29"/>
      <c r="V60" s="29"/>
    </row>
    <row r="61" spans="1:22" ht="15" thickBot="1">
      <c r="A61" s="29"/>
      <c r="B61" s="29"/>
      <c r="C61" s="1328"/>
      <c r="D61" s="835"/>
      <c r="E61" s="514" t="s">
        <v>179</v>
      </c>
      <c r="F61" s="475"/>
      <c r="G61" s="475"/>
      <c r="H61" s="785"/>
      <c r="I61" s="29"/>
      <c r="J61" s="29"/>
      <c r="K61" s="29"/>
      <c r="L61" s="29"/>
      <c r="M61" s="29"/>
      <c r="N61" s="29"/>
      <c r="O61" s="29"/>
      <c r="P61" s="29"/>
      <c r="Q61" s="29"/>
      <c r="R61" s="29"/>
      <c r="S61" s="29"/>
      <c r="T61" s="29"/>
      <c r="U61" s="29"/>
      <c r="V61" s="29"/>
    </row>
    <row r="62" spans="1:22" ht="15" thickBot="1">
      <c r="A62" s="29"/>
      <c r="B62" s="29"/>
      <c r="C62" s="1328"/>
      <c r="D62" s="835"/>
      <c r="E62" s="484" t="s">
        <v>455</v>
      </c>
      <c r="F62" s="28"/>
      <c r="G62" s="28"/>
      <c r="H62" s="784">
        <f>Ettev_kalk!BM51/1000</f>
        <v>0</v>
      </c>
      <c r="I62" s="29"/>
      <c r="J62" s="801" t="s">
        <v>184</v>
      </c>
      <c r="K62" s="650" t="s">
        <v>472</v>
      </c>
      <c r="L62" s="29"/>
      <c r="M62" s="29"/>
      <c r="N62" s="29"/>
      <c r="O62" s="29"/>
      <c r="P62" s="29"/>
      <c r="Q62" s="29"/>
      <c r="R62" s="29"/>
      <c r="S62" s="29"/>
      <c r="T62" s="29"/>
      <c r="U62" s="29"/>
      <c r="V62" s="29"/>
    </row>
    <row r="63" spans="1:22">
      <c r="A63" s="29"/>
      <c r="B63" s="29"/>
      <c r="C63" s="1328"/>
      <c r="D63" s="835"/>
      <c r="E63" s="484" t="s">
        <v>456</v>
      </c>
      <c r="F63" s="28">
        <f>Ettev_kalk!E235</f>
        <v>0</v>
      </c>
      <c r="G63" s="28" t="s">
        <v>457</v>
      </c>
      <c r="H63" s="784">
        <f>F63*265/1000</f>
        <v>0</v>
      </c>
      <c r="I63" s="29"/>
      <c r="J63" s="802" t="s">
        <v>178</v>
      </c>
      <c r="K63" s="21"/>
      <c r="L63" s="29"/>
      <c r="M63" s="29"/>
      <c r="N63" s="29"/>
      <c r="O63" s="29"/>
      <c r="P63" s="29"/>
      <c r="Q63" s="29"/>
      <c r="R63" s="29"/>
      <c r="S63" s="29"/>
      <c r="T63" s="29"/>
      <c r="U63" s="29"/>
      <c r="V63" s="29"/>
    </row>
    <row r="64" spans="1:22">
      <c r="A64" s="29"/>
      <c r="B64" s="29"/>
      <c r="C64" s="1328"/>
      <c r="D64" s="835"/>
      <c r="E64" s="484" t="s">
        <v>458</v>
      </c>
      <c r="F64" s="28">
        <f>Ettev_kalk!E227</f>
        <v>0</v>
      </c>
      <c r="G64" s="28" t="s">
        <v>457</v>
      </c>
      <c r="H64" s="784">
        <f>F64*265/1000</f>
        <v>0</v>
      </c>
      <c r="I64" s="29"/>
      <c r="J64" s="80" t="s">
        <v>469</v>
      </c>
      <c r="K64" s="778">
        <f>SUM(H55:H60)</f>
        <v>0</v>
      </c>
      <c r="L64" s="29"/>
      <c r="M64" s="29"/>
      <c r="N64" s="29"/>
      <c r="O64" s="29"/>
      <c r="P64" s="29"/>
      <c r="Q64" s="29"/>
      <c r="R64" s="29"/>
      <c r="S64" s="29"/>
      <c r="T64" s="29"/>
      <c r="U64" s="29"/>
      <c r="V64" s="29"/>
    </row>
    <row r="65" spans="1:22">
      <c r="A65" s="29"/>
      <c r="B65" s="29"/>
      <c r="C65" s="1328"/>
      <c r="D65" s="835"/>
      <c r="E65" s="484" t="s">
        <v>459</v>
      </c>
      <c r="F65" s="28">
        <f>Ettev_kalk!E238</f>
        <v>0</v>
      </c>
      <c r="G65" s="28" t="s">
        <v>457</v>
      </c>
      <c r="H65" s="784">
        <f>F65*265/1000</f>
        <v>0</v>
      </c>
      <c r="I65" s="29"/>
      <c r="J65" s="80" t="s">
        <v>470</v>
      </c>
      <c r="K65" s="778">
        <f>H92</f>
        <v>0</v>
      </c>
      <c r="L65" s="29"/>
      <c r="M65" s="29"/>
      <c r="N65" s="29"/>
      <c r="O65" s="29"/>
      <c r="P65" s="29"/>
      <c r="Q65" s="29"/>
      <c r="R65" s="29"/>
      <c r="S65" s="29"/>
      <c r="T65" s="29"/>
      <c r="U65" s="29"/>
      <c r="V65" s="29"/>
    </row>
    <row r="66" spans="1:22">
      <c r="A66" s="29"/>
      <c r="B66" s="29"/>
      <c r="C66" s="1328"/>
      <c r="D66" s="835"/>
      <c r="E66" s="484" t="s">
        <v>460</v>
      </c>
      <c r="F66" s="28">
        <f>Ettev_kalk!E221</f>
        <v>0</v>
      </c>
      <c r="G66" s="28" t="s">
        <v>461</v>
      </c>
      <c r="H66" s="784">
        <f>F66*28/1000</f>
        <v>0</v>
      </c>
      <c r="I66" s="29"/>
      <c r="J66" s="80" t="s">
        <v>471</v>
      </c>
      <c r="K66" s="778">
        <f>SUM(H110:H113,H159:H160,H178,H138:H139)</f>
        <v>0</v>
      </c>
      <c r="L66" s="29"/>
      <c r="M66" s="29"/>
      <c r="N66" s="29"/>
      <c r="O66" s="29"/>
      <c r="P66" s="29"/>
      <c r="Q66" s="29"/>
      <c r="R66" s="29"/>
      <c r="S66" s="29"/>
      <c r="T66" s="29"/>
      <c r="U66" s="29"/>
      <c r="V66" s="29"/>
    </row>
    <row r="67" spans="1:22">
      <c r="A67" s="29"/>
      <c r="B67" s="29"/>
      <c r="C67" s="1328"/>
      <c r="D67" s="835"/>
      <c r="E67" s="513" t="s">
        <v>463</v>
      </c>
      <c r="F67" s="28"/>
      <c r="G67" s="28"/>
      <c r="H67" s="784">
        <f>Ettev_kalk!BM48/1000</f>
        <v>0</v>
      </c>
      <c r="I67" s="29"/>
      <c r="J67" s="802" t="s">
        <v>179</v>
      </c>
      <c r="K67" s="21"/>
      <c r="L67" s="29"/>
      <c r="M67" s="29"/>
      <c r="N67" s="29"/>
      <c r="O67" s="29"/>
      <c r="P67" s="29"/>
      <c r="Q67" s="29"/>
      <c r="R67" s="29"/>
      <c r="S67" s="29"/>
      <c r="T67" s="29"/>
      <c r="U67" s="29"/>
      <c r="V67" s="29"/>
    </row>
    <row r="68" spans="1:22">
      <c r="A68" s="29"/>
      <c r="B68" s="29"/>
      <c r="C68" s="1328"/>
      <c r="D68" s="835"/>
      <c r="E68" s="514" t="s">
        <v>181</v>
      </c>
      <c r="F68" s="475"/>
      <c r="G68" s="475"/>
      <c r="H68" s="785"/>
      <c r="I68" s="29"/>
      <c r="J68" s="80" t="s">
        <v>469</v>
      </c>
      <c r="K68" s="778">
        <f>SUM(H62:H67)</f>
        <v>0</v>
      </c>
      <c r="L68" s="29"/>
      <c r="M68" s="29"/>
      <c r="N68" s="29"/>
      <c r="O68" s="29"/>
      <c r="P68" s="29"/>
      <c r="Q68" s="29"/>
      <c r="R68" s="29"/>
      <c r="S68" s="29"/>
      <c r="T68" s="29"/>
      <c r="U68" s="29"/>
      <c r="V68" s="29"/>
    </row>
    <row r="69" spans="1:22">
      <c r="A69" s="29"/>
      <c r="B69" s="29"/>
      <c r="C69" s="1328"/>
      <c r="D69" s="835"/>
      <c r="E69" s="484" t="s">
        <v>455</v>
      </c>
      <c r="F69" s="28"/>
      <c r="G69" s="28"/>
      <c r="H69" s="784">
        <f>Ettev_kalk!CB7/1000</f>
        <v>0</v>
      </c>
      <c r="I69" s="29"/>
      <c r="J69" s="80" t="s">
        <v>470</v>
      </c>
      <c r="K69" s="778">
        <f>H94</f>
        <v>0</v>
      </c>
      <c r="L69" s="29"/>
      <c r="M69" s="29"/>
      <c r="N69" s="29"/>
      <c r="O69" s="29"/>
      <c r="P69" s="29"/>
      <c r="Q69" s="29"/>
      <c r="R69" s="29"/>
      <c r="S69" s="29"/>
      <c r="T69" s="29"/>
      <c r="U69" s="29"/>
      <c r="V69" s="29"/>
    </row>
    <row r="70" spans="1:22">
      <c r="A70" s="29"/>
      <c r="B70" s="29"/>
      <c r="C70" s="1328"/>
      <c r="D70" s="835"/>
      <c r="E70" s="484" t="s">
        <v>458</v>
      </c>
      <c r="F70" s="775">
        <f>Ettev_kalk!E417</f>
        <v>0</v>
      </c>
      <c r="G70" s="775" t="s">
        <v>457</v>
      </c>
      <c r="H70" s="787">
        <f>F70*265/1000</f>
        <v>0</v>
      </c>
      <c r="I70" s="29"/>
      <c r="J70" s="80" t="s">
        <v>471</v>
      </c>
      <c r="K70" s="778">
        <f>SUM(H115:H118,H141:H142,H162:H163,H180)</f>
        <v>0</v>
      </c>
      <c r="L70" s="29"/>
      <c r="M70" s="29"/>
      <c r="N70" s="29"/>
      <c r="O70" s="29"/>
      <c r="P70" s="29"/>
      <c r="Q70" s="29"/>
      <c r="R70" s="29"/>
      <c r="S70" s="29"/>
      <c r="T70" s="29"/>
      <c r="U70" s="29"/>
      <c r="V70" s="29"/>
    </row>
    <row r="71" spans="1:22">
      <c r="A71" s="29"/>
      <c r="B71" s="29"/>
      <c r="C71" s="1328"/>
      <c r="D71" s="835"/>
      <c r="E71" s="484" t="s">
        <v>459</v>
      </c>
      <c r="F71" s="775">
        <f>Ettev_kalk!E431</f>
        <v>0</v>
      </c>
      <c r="G71" s="775" t="s">
        <v>457</v>
      </c>
      <c r="H71" s="787">
        <f>F71*265/1000</f>
        <v>0</v>
      </c>
      <c r="I71" s="29"/>
      <c r="J71" s="802" t="s">
        <v>180</v>
      </c>
      <c r="K71" s="21"/>
      <c r="L71" s="29"/>
      <c r="M71" s="29"/>
      <c r="N71" s="29"/>
      <c r="O71" s="29"/>
      <c r="P71" s="29"/>
      <c r="Q71" s="29"/>
      <c r="R71" s="29"/>
      <c r="S71" s="29"/>
      <c r="T71" s="29"/>
      <c r="U71" s="29"/>
      <c r="V71" s="29"/>
    </row>
    <row r="72" spans="1:22">
      <c r="A72" s="29"/>
      <c r="B72" s="29"/>
      <c r="C72" s="1328"/>
      <c r="D72" s="835"/>
      <c r="E72" s="484" t="s">
        <v>460</v>
      </c>
      <c r="F72" s="775">
        <f>Ettev_kalk!E406</f>
        <v>0</v>
      </c>
      <c r="G72" s="775" t="s">
        <v>461</v>
      </c>
      <c r="H72" s="787">
        <f>F72*28/1000</f>
        <v>0</v>
      </c>
      <c r="I72" s="29"/>
      <c r="J72" s="80" t="s">
        <v>469</v>
      </c>
      <c r="K72" s="778">
        <f>SUM(H47:H53)</f>
        <v>0</v>
      </c>
      <c r="L72" s="29"/>
      <c r="M72" s="29"/>
      <c r="N72" s="29"/>
      <c r="O72" s="29"/>
      <c r="P72" s="29"/>
      <c r="Q72" s="29"/>
      <c r="R72" s="29"/>
      <c r="S72" s="29"/>
      <c r="T72" s="29"/>
      <c r="U72" s="29"/>
      <c r="V72" s="29"/>
    </row>
    <row r="73" spans="1:22">
      <c r="A73" s="29"/>
      <c r="B73" s="29"/>
      <c r="C73" s="1328"/>
      <c r="D73" s="835"/>
      <c r="E73" s="484" t="s">
        <v>462</v>
      </c>
      <c r="F73" s="775">
        <f>Ettev_kalk!E402</f>
        <v>0</v>
      </c>
      <c r="G73" s="775" t="s">
        <v>461</v>
      </c>
      <c r="H73" s="787">
        <f>F73*28/1000</f>
        <v>0</v>
      </c>
      <c r="I73" s="29"/>
      <c r="J73" s="80" t="s">
        <v>470</v>
      </c>
      <c r="K73" s="778">
        <f>H90</f>
        <v>0</v>
      </c>
      <c r="L73" s="29"/>
      <c r="M73" s="29"/>
      <c r="N73" s="29"/>
      <c r="O73" s="29"/>
      <c r="P73" s="29"/>
      <c r="Q73" s="29"/>
      <c r="R73" s="29"/>
      <c r="S73" s="29"/>
      <c r="T73" s="29"/>
      <c r="U73" s="29"/>
      <c r="V73" s="29"/>
    </row>
    <row r="74" spans="1:22">
      <c r="A74" s="29"/>
      <c r="B74" s="29"/>
      <c r="C74" s="1328"/>
      <c r="D74" s="835"/>
      <c r="E74" s="484" t="s">
        <v>463</v>
      </c>
      <c r="F74" s="775"/>
      <c r="G74" s="775"/>
      <c r="H74" s="787">
        <f>Ettev_kalk!CB3/1000</f>
        <v>0</v>
      </c>
      <c r="I74" s="29"/>
      <c r="J74" s="80" t="s">
        <v>471</v>
      </c>
      <c r="K74" s="778">
        <f>SUM(H106:H108,H135:H136,H156:H157,H176)</f>
        <v>0</v>
      </c>
      <c r="L74" s="29"/>
      <c r="M74" s="29"/>
      <c r="N74" s="29"/>
      <c r="O74" s="29"/>
      <c r="P74" s="29"/>
      <c r="Q74" s="29"/>
      <c r="R74" s="29"/>
      <c r="S74" s="29"/>
      <c r="T74" s="29"/>
      <c r="U74" s="29"/>
      <c r="V74" s="29"/>
    </row>
    <row r="75" spans="1:22">
      <c r="A75" s="29"/>
      <c r="B75" s="29"/>
      <c r="C75" s="1328"/>
      <c r="D75" s="835"/>
      <c r="E75" s="514" t="s">
        <v>182</v>
      </c>
      <c r="F75" s="475"/>
      <c r="G75" s="475"/>
      <c r="H75" s="785"/>
      <c r="I75" s="29"/>
      <c r="J75" s="802" t="s">
        <v>182</v>
      </c>
      <c r="K75" s="21"/>
      <c r="L75" s="29"/>
      <c r="M75" s="29"/>
      <c r="N75" s="29"/>
      <c r="O75" s="29"/>
      <c r="P75" s="29"/>
      <c r="Q75" s="29"/>
      <c r="R75" s="29"/>
      <c r="S75" s="29"/>
      <c r="T75" s="29"/>
      <c r="U75" s="29"/>
      <c r="V75" s="29"/>
    </row>
    <row r="76" spans="1:22">
      <c r="A76" s="29"/>
      <c r="B76" s="29"/>
      <c r="C76" s="1328"/>
      <c r="D76" s="835"/>
      <c r="E76" s="484" t="s">
        <v>455</v>
      </c>
      <c r="F76" s="28"/>
      <c r="G76" s="28"/>
      <c r="H76" s="784">
        <f>Ettev_kalk!CB58/1000</f>
        <v>0</v>
      </c>
      <c r="I76" s="29"/>
      <c r="J76" s="80" t="s">
        <v>469</v>
      </c>
      <c r="K76" s="778">
        <f>SUM(H76:H80)</f>
        <v>0</v>
      </c>
      <c r="L76" s="29"/>
      <c r="M76" s="29"/>
      <c r="N76" s="29"/>
      <c r="O76" s="29"/>
      <c r="P76" s="29"/>
      <c r="Q76" s="29"/>
      <c r="R76" s="29"/>
      <c r="S76" s="29"/>
      <c r="T76" s="29"/>
      <c r="U76" s="29"/>
      <c r="V76" s="29"/>
    </row>
    <row r="77" spans="1:22">
      <c r="A77" s="29"/>
      <c r="B77" s="29"/>
      <c r="C77" s="1328"/>
      <c r="D77" s="835"/>
      <c r="E77" s="484" t="s">
        <v>458</v>
      </c>
      <c r="F77" s="28">
        <f>Ettev_kalk!E456</f>
        <v>0</v>
      </c>
      <c r="G77" s="28" t="s">
        <v>457</v>
      </c>
      <c r="H77" s="784">
        <f>F77*265/1000</f>
        <v>0</v>
      </c>
      <c r="I77" s="29"/>
      <c r="J77" s="80" t="s">
        <v>470</v>
      </c>
      <c r="K77" s="778">
        <f>H98</f>
        <v>0</v>
      </c>
      <c r="L77" s="29"/>
      <c r="M77" s="29"/>
      <c r="N77" s="29"/>
      <c r="O77" s="29"/>
      <c r="P77" s="29"/>
      <c r="Q77" s="29"/>
      <c r="R77" s="29"/>
      <c r="S77" s="29"/>
      <c r="T77" s="29"/>
      <c r="U77" s="29"/>
      <c r="V77" s="29"/>
    </row>
    <row r="78" spans="1:22">
      <c r="A78" s="29"/>
      <c r="B78" s="29"/>
      <c r="C78" s="1328"/>
      <c r="D78" s="835"/>
      <c r="E78" s="484" t="s">
        <v>459</v>
      </c>
      <c r="F78" s="28">
        <f>Ettev_kalk!E469</f>
        <v>0</v>
      </c>
      <c r="G78" s="28" t="s">
        <v>457</v>
      </c>
      <c r="H78" s="784">
        <f>F78*265/1000</f>
        <v>0</v>
      </c>
      <c r="I78" s="29"/>
      <c r="J78" s="80" t="s">
        <v>471</v>
      </c>
      <c r="K78" s="778">
        <f>SUM(H124:H126,H147:H148,H168:H169,H184)</f>
        <v>0</v>
      </c>
      <c r="L78" s="29"/>
      <c r="M78" s="29"/>
      <c r="N78" s="29"/>
      <c r="O78" s="29"/>
      <c r="P78" s="29"/>
      <c r="Q78" s="29"/>
      <c r="R78" s="29"/>
      <c r="S78" s="29"/>
      <c r="T78" s="29"/>
      <c r="U78" s="29"/>
      <c r="V78" s="29"/>
    </row>
    <row r="79" spans="1:22">
      <c r="A79" s="29"/>
      <c r="B79" s="29"/>
      <c r="C79" s="1328"/>
      <c r="D79" s="835"/>
      <c r="E79" s="484" t="s">
        <v>460</v>
      </c>
      <c r="F79" s="28">
        <f>Ettev_kalk!E450</f>
        <v>0</v>
      </c>
      <c r="G79" s="28" t="s">
        <v>461</v>
      </c>
      <c r="H79" s="784">
        <f>F79*28/1000</f>
        <v>0</v>
      </c>
      <c r="I79" s="29"/>
      <c r="J79" s="802" t="s">
        <v>183</v>
      </c>
      <c r="K79" s="21"/>
      <c r="L79" s="29"/>
      <c r="M79" s="29"/>
      <c r="N79" s="29"/>
      <c r="O79" s="29"/>
      <c r="P79" s="29"/>
      <c r="Q79" s="29"/>
      <c r="R79" s="29"/>
      <c r="S79" s="29"/>
      <c r="T79" s="29"/>
      <c r="U79" s="29"/>
      <c r="V79" s="29"/>
    </row>
    <row r="80" spans="1:22">
      <c r="A80" s="29"/>
      <c r="B80" s="29"/>
      <c r="C80" s="1328"/>
      <c r="D80" s="835"/>
      <c r="E80" s="513" t="s">
        <v>463</v>
      </c>
      <c r="F80" s="28"/>
      <c r="G80" s="28"/>
      <c r="H80" s="784">
        <f>Ettev_kalk!CB55/1000</f>
        <v>0</v>
      </c>
      <c r="I80" s="29"/>
      <c r="J80" s="80" t="s">
        <v>469</v>
      </c>
      <c r="K80" s="778">
        <f>SUM(H82:H86)</f>
        <v>0</v>
      </c>
      <c r="L80" s="29"/>
      <c r="M80" s="29"/>
      <c r="N80" s="29"/>
      <c r="O80" s="29"/>
      <c r="P80" s="29"/>
      <c r="Q80" s="29"/>
      <c r="R80" s="29"/>
      <c r="S80" s="29"/>
      <c r="T80" s="29"/>
      <c r="U80" s="29"/>
      <c r="V80" s="29"/>
    </row>
    <row r="81" spans="1:22">
      <c r="A81" s="29"/>
      <c r="B81" s="29"/>
      <c r="C81" s="1328"/>
      <c r="D81" s="835"/>
      <c r="E81" s="514" t="s">
        <v>183</v>
      </c>
      <c r="F81" s="475"/>
      <c r="G81" s="475"/>
      <c r="H81" s="785"/>
      <c r="I81" s="29"/>
      <c r="J81" s="80" t="s">
        <v>470</v>
      </c>
      <c r="K81" s="778">
        <f>H100</f>
        <v>0</v>
      </c>
      <c r="L81" s="29"/>
      <c r="M81" s="29"/>
      <c r="N81" s="29"/>
      <c r="O81" s="29"/>
      <c r="P81" s="29"/>
      <c r="Q81" s="29"/>
      <c r="R81" s="29"/>
      <c r="S81" s="29"/>
      <c r="T81" s="29"/>
      <c r="U81" s="29"/>
      <c r="V81" s="29"/>
    </row>
    <row r="82" spans="1:22">
      <c r="A82" s="29"/>
      <c r="B82" s="29"/>
      <c r="C82" s="1328"/>
      <c r="D82" s="835"/>
      <c r="E82" s="484" t="s">
        <v>455</v>
      </c>
      <c r="F82" s="28"/>
      <c r="G82" s="28"/>
      <c r="H82" s="784">
        <f>Ettev_kalk!CI7/1000</f>
        <v>0</v>
      </c>
      <c r="I82" s="29"/>
      <c r="J82" s="80" t="s">
        <v>471</v>
      </c>
      <c r="K82" s="778">
        <f>SUM(H128:H130,H150:H151,H171:H172,H186)</f>
        <v>0</v>
      </c>
      <c r="L82" s="29"/>
      <c r="M82" s="29"/>
      <c r="N82" s="29"/>
      <c r="O82" s="29"/>
      <c r="P82" s="29"/>
      <c r="Q82" s="29"/>
      <c r="R82" s="29"/>
      <c r="S82" s="29"/>
      <c r="T82" s="29"/>
      <c r="U82" s="29"/>
      <c r="V82" s="29"/>
    </row>
    <row r="83" spans="1:22">
      <c r="A83" s="29"/>
      <c r="B83" s="29"/>
      <c r="C83" s="1328"/>
      <c r="D83" s="835"/>
      <c r="E83" s="484" t="s">
        <v>458</v>
      </c>
      <c r="F83" s="28">
        <f>Ettev_kalk!E493</f>
        <v>0</v>
      </c>
      <c r="G83" s="28" t="s">
        <v>457</v>
      </c>
      <c r="H83" s="784">
        <f>F83*265/1000</f>
        <v>0</v>
      </c>
      <c r="I83" s="29"/>
      <c r="J83" s="802" t="s">
        <v>185</v>
      </c>
      <c r="K83" s="21"/>
      <c r="L83" s="29"/>
      <c r="M83" s="29"/>
      <c r="N83" s="29"/>
      <c r="O83" s="29"/>
      <c r="P83" s="29"/>
      <c r="Q83" s="29"/>
      <c r="R83" s="29"/>
      <c r="S83" s="29"/>
      <c r="T83" s="29"/>
      <c r="U83" s="29"/>
      <c r="V83" s="29"/>
    </row>
    <row r="84" spans="1:22">
      <c r="A84" s="29"/>
      <c r="B84" s="29"/>
      <c r="C84" s="1328"/>
      <c r="D84" s="835"/>
      <c r="E84" s="484" t="s">
        <v>459</v>
      </c>
      <c r="F84" s="28">
        <f>Ettev_kalk!E506</f>
        <v>0</v>
      </c>
      <c r="G84" s="28" t="s">
        <v>457</v>
      </c>
      <c r="H84" s="784">
        <f>F84*265/1000</f>
        <v>0</v>
      </c>
      <c r="I84" s="29"/>
      <c r="J84" s="80" t="s">
        <v>469</v>
      </c>
      <c r="K84" s="778">
        <f>SUM(H39:H45)</f>
        <v>0</v>
      </c>
      <c r="L84" s="29"/>
      <c r="M84" s="29"/>
      <c r="N84" s="29"/>
      <c r="O84" s="29"/>
      <c r="P84" s="29"/>
      <c r="Q84" s="29"/>
      <c r="R84" s="29"/>
      <c r="S84" s="29"/>
      <c r="T84" s="29"/>
      <c r="U84" s="29"/>
      <c r="V84" s="29"/>
    </row>
    <row r="85" spans="1:22">
      <c r="A85" s="29"/>
      <c r="B85" s="29"/>
      <c r="C85" s="1328"/>
      <c r="D85" s="835"/>
      <c r="E85" s="484" t="s">
        <v>460</v>
      </c>
      <c r="F85" s="28">
        <f>Ettev_kalk!E487</f>
        <v>0</v>
      </c>
      <c r="G85" s="28" t="s">
        <v>461</v>
      </c>
      <c r="H85" s="784">
        <f>F85*28/1000</f>
        <v>0</v>
      </c>
      <c r="I85" s="29"/>
      <c r="J85" s="80" t="s">
        <v>470</v>
      </c>
      <c r="K85" s="778">
        <f>H88</f>
        <v>0</v>
      </c>
      <c r="L85" s="29"/>
      <c r="M85" s="29"/>
      <c r="N85" s="29"/>
      <c r="O85" s="29"/>
      <c r="P85" s="29"/>
      <c r="Q85" s="29"/>
      <c r="R85" s="29"/>
      <c r="S85" s="29"/>
      <c r="T85" s="29"/>
      <c r="U85" s="29"/>
      <c r="V85" s="29"/>
    </row>
    <row r="86" spans="1:22" ht="15" thickBot="1">
      <c r="A86" s="29"/>
      <c r="B86" s="29"/>
      <c r="C86" s="1329"/>
      <c r="D86" s="835"/>
      <c r="E86" s="484" t="s">
        <v>463</v>
      </c>
      <c r="F86" s="28"/>
      <c r="G86" s="28"/>
      <c r="H86" s="784">
        <f>Ettev_kalk!CI4/1000</f>
        <v>0</v>
      </c>
      <c r="I86" s="29"/>
      <c r="J86" s="80" t="s">
        <v>471</v>
      </c>
      <c r="K86" s="778">
        <f>SUM(H102:H104,H132:H133,H153:H154,H174)</f>
        <v>0</v>
      </c>
      <c r="L86" s="29"/>
      <c r="M86" s="29"/>
      <c r="N86" s="29"/>
      <c r="O86" s="29"/>
      <c r="P86" s="29"/>
      <c r="Q86" s="29"/>
      <c r="R86" s="29"/>
      <c r="S86" s="29"/>
      <c r="T86" s="29"/>
      <c r="U86" s="29"/>
      <c r="V86" s="29"/>
    </row>
    <row r="87" spans="1:22" ht="15" customHeight="1">
      <c r="A87" s="29"/>
      <c r="B87" s="29"/>
      <c r="C87" s="1297" t="s">
        <v>473</v>
      </c>
      <c r="D87" s="1300" t="s">
        <v>474</v>
      </c>
      <c r="E87" s="539" t="s">
        <v>185</v>
      </c>
      <c r="F87" s="540"/>
      <c r="G87" s="540"/>
      <c r="H87" s="788"/>
      <c r="I87" s="29"/>
      <c r="J87" s="802" t="s">
        <v>181</v>
      </c>
      <c r="K87" s="21"/>
      <c r="L87" s="29"/>
      <c r="M87" s="29"/>
      <c r="N87" s="29"/>
      <c r="O87" s="29"/>
      <c r="P87" s="29"/>
      <c r="Q87" s="29"/>
      <c r="R87" s="29"/>
      <c r="S87" s="29"/>
      <c r="T87" s="29"/>
      <c r="U87" s="29"/>
      <c r="V87" s="29"/>
    </row>
    <row r="88" spans="1:22">
      <c r="A88" s="29"/>
      <c r="B88" s="29"/>
      <c r="C88" s="1298"/>
      <c r="D88" s="1301"/>
      <c r="E88" s="515" t="s">
        <v>475</v>
      </c>
      <c r="F88" s="261">
        <f>SUM(Ettev_kalk!BR64:BR65)</f>
        <v>0</v>
      </c>
      <c r="G88" s="261" t="s">
        <v>165</v>
      </c>
      <c r="H88" s="789">
        <f>Ettev_kalk!BU64/1000</f>
        <v>0</v>
      </c>
      <c r="I88" s="29"/>
      <c r="J88" s="80" t="s">
        <v>469</v>
      </c>
      <c r="K88" s="778">
        <f>SUM(H69:H74)</f>
        <v>0</v>
      </c>
      <c r="L88" s="29"/>
      <c r="M88" s="29"/>
      <c r="N88" s="29"/>
      <c r="O88" s="29"/>
      <c r="P88" s="29"/>
      <c r="Q88" s="29"/>
      <c r="R88" s="29"/>
      <c r="S88" s="29"/>
      <c r="T88" s="29"/>
      <c r="U88" s="29"/>
      <c r="V88" s="29"/>
    </row>
    <row r="89" spans="1:22">
      <c r="A89" s="29"/>
      <c r="B89" s="29"/>
      <c r="C89" s="1298"/>
      <c r="D89" s="1301"/>
      <c r="E89" s="516" t="s">
        <v>180</v>
      </c>
      <c r="F89" s="984"/>
      <c r="G89" s="984"/>
      <c r="H89" s="790"/>
      <c r="I89" s="29"/>
      <c r="J89" s="80" t="s">
        <v>470</v>
      </c>
      <c r="K89" s="778">
        <f>H96</f>
        <v>0</v>
      </c>
      <c r="L89" s="29"/>
      <c r="M89" s="29"/>
      <c r="N89" s="29"/>
      <c r="O89" s="29"/>
      <c r="P89" s="29"/>
      <c r="Q89" s="29"/>
      <c r="R89" s="29"/>
      <c r="S89" s="29"/>
      <c r="T89" s="29"/>
      <c r="U89" s="29"/>
      <c r="V89" s="29"/>
    </row>
    <row r="90" spans="1:22" ht="15" thickBot="1">
      <c r="A90" s="29"/>
      <c r="B90" s="29"/>
      <c r="C90" s="1298"/>
      <c r="D90" s="1301"/>
      <c r="E90" s="515" t="s">
        <v>475</v>
      </c>
      <c r="F90" s="261">
        <f>SUM(Ettev_kalk!BR10:BR11)</f>
        <v>0</v>
      </c>
      <c r="G90" s="261" t="s">
        <v>165</v>
      </c>
      <c r="H90" s="789">
        <f>Ettev_kalk!BU10/1000</f>
        <v>0</v>
      </c>
      <c r="I90" s="29"/>
      <c r="J90" s="629" t="s">
        <v>471</v>
      </c>
      <c r="K90" s="779">
        <f>SUM(H120:H122,H144:H145,H165:H166,H182)</f>
        <v>0</v>
      </c>
      <c r="L90" s="29"/>
      <c r="M90" s="29"/>
      <c r="N90" s="29"/>
      <c r="O90" s="29"/>
      <c r="P90" s="29"/>
      <c r="Q90" s="29"/>
      <c r="R90" s="29"/>
      <c r="S90" s="29"/>
      <c r="T90" s="29"/>
      <c r="U90" s="29"/>
      <c r="V90" s="29"/>
    </row>
    <row r="91" spans="1:22" ht="15" thickBot="1">
      <c r="A91" s="29"/>
      <c r="B91" s="29"/>
      <c r="C91" s="1298"/>
      <c r="D91" s="1301"/>
      <c r="E91" s="516" t="s">
        <v>178</v>
      </c>
      <c r="F91" s="984"/>
      <c r="G91" s="984"/>
      <c r="H91" s="790"/>
      <c r="I91" s="29"/>
      <c r="J91" s="29"/>
      <c r="K91" s="29"/>
      <c r="L91" s="29"/>
      <c r="M91" s="29"/>
      <c r="N91" s="29"/>
      <c r="O91" s="29"/>
      <c r="P91" s="29"/>
      <c r="Q91" s="29"/>
      <c r="R91" s="29"/>
      <c r="S91" s="29"/>
      <c r="T91" s="29"/>
      <c r="U91" s="29"/>
      <c r="V91" s="29"/>
    </row>
    <row r="92" spans="1:22" ht="15" thickBot="1">
      <c r="A92" s="29"/>
      <c r="B92" s="29"/>
      <c r="C92" s="1298"/>
      <c r="D92" s="1301"/>
      <c r="E92" s="515" t="s">
        <v>475</v>
      </c>
      <c r="F92" s="261">
        <f>SUM(Ettev_kalk!BJ10:BJ11)</f>
        <v>0</v>
      </c>
      <c r="G92" s="261" t="s">
        <v>165</v>
      </c>
      <c r="H92" s="789">
        <f>Ettev_kalk!BM10/1000</f>
        <v>0</v>
      </c>
      <c r="I92" s="29"/>
      <c r="J92" s="801" t="s">
        <v>407</v>
      </c>
      <c r="K92" s="650" t="s">
        <v>472</v>
      </c>
      <c r="L92" s="29"/>
      <c r="M92" s="29"/>
      <c r="N92" s="29"/>
      <c r="O92" s="29"/>
      <c r="P92" s="29"/>
      <c r="Q92" s="29"/>
      <c r="R92" s="29"/>
      <c r="S92" s="29"/>
      <c r="T92" s="29"/>
      <c r="U92" s="29"/>
      <c r="V92" s="29"/>
    </row>
    <row r="93" spans="1:22">
      <c r="A93" s="29"/>
      <c r="B93" s="29"/>
      <c r="C93" s="1298"/>
      <c r="D93" s="1301"/>
      <c r="E93" s="516" t="s">
        <v>179</v>
      </c>
      <c r="F93" s="984"/>
      <c r="G93" s="984"/>
      <c r="H93" s="790"/>
      <c r="I93" s="29"/>
      <c r="J93" s="80" t="s">
        <v>469</v>
      </c>
      <c r="K93" s="21">
        <f>H191+H192</f>
        <v>0</v>
      </c>
      <c r="L93" s="29"/>
      <c r="M93" s="29"/>
      <c r="N93" s="29"/>
      <c r="O93" s="29"/>
      <c r="P93" s="29"/>
      <c r="Q93" s="29"/>
      <c r="R93" s="29"/>
      <c r="S93" s="29"/>
      <c r="T93" s="29"/>
      <c r="U93" s="29"/>
      <c r="V93" s="29"/>
    </row>
    <row r="94" spans="1:22">
      <c r="A94" s="29"/>
      <c r="B94" s="29"/>
      <c r="C94" s="1298"/>
      <c r="D94" s="1301"/>
      <c r="E94" s="515" t="s">
        <v>475</v>
      </c>
      <c r="F94" s="261">
        <f>SUM(Ettev_kalk!BJ54:BJ55)</f>
        <v>0</v>
      </c>
      <c r="G94" s="261" t="s">
        <v>165</v>
      </c>
      <c r="H94" s="789">
        <f>Ettev_kalk!BM54/1000</f>
        <v>0</v>
      </c>
      <c r="I94" s="29"/>
      <c r="J94" s="80" t="s">
        <v>470</v>
      </c>
      <c r="K94" s="21">
        <f>SUM(H193:H194)</f>
        <v>0</v>
      </c>
      <c r="L94" s="29"/>
      <c r="M94" s="29"/>
      <c r="N94" s="29"/>
      <c r="O94" s="29"/>
      <c r="P94" s="29"/>
      <c r="Q94" s="29"/>
      <c r="R94" s="29"/>
      <c r="S94" s="29"/>
      <c r="T94" s="29"/>
      <c r="U94" s="29"/>
      <c r="V94" s="29"/>
    </row>
    <row r="95" spans="1:22" ht="15" thickBot="1">
      <c r="A95" s="29"/>
      <c r="B95" s="29"/>
      <c r="C95" s="1298"/>
      <c r="D95" s="1301"/>
      <c r="E95" s="516" t="s">
        <v>181</v>
      </c>
      <c r="F95" s="984"/>
      <c r="G95" s="984"/>
      <c r="H95" s="790"/>
      <c r="I95" s="29"/>
      <c r="J95" s="629" t="s">
        <v>471</v>
      </c>
      <c r="K95" s="37">
        <f>SUM(H195:H199)</f>
        <v>0</v>
      </c>
      <c r="L95" s="29"/>
      <c r="M95" s="29"/>
      <c r="N95" s="29"/>
      <c r="O95" s="29"/>
      <c r="P95" s="29"/>
      <c r="Q95" s="29"/>
      <c r="R95" s="29"/>
      <c r="S95" s="29"/>
      <c r="T95" s="29"/>
      <c r="U95" s="29"/>
      <c r="V95" s="29"/>
    </row>
    <row r="96" spans="1:22">
      <c r="A96" s="29"/>
      <c r="B96" s="29"/>
      <c r="C96" s="1298"/>
      <c r="D96" s="1301"/>
      <c r="E96" s="515" t="s">
        <v>475</v>
      </c>
      <c r="F96" s="261">
        <f>SUM(Ettev_kalk!BY10:BY11)</f>
        <v>0</v>
      </c>
      <c r="G96" s="261" t="s">
        <v>165</v>
      </c>
      <c r="H96" s="789">
        <f>Ettev_kalk!CB10/1000</f>
        <v>0</v>
      </c>
      <c r="I96" s="29"/>
      <c r="J96" s="29"/>
      <c r="K96" s="29"/>
      <c r="L96" s="29"/>
      <c r="M96" s="29"/>
      <c r="N96" s="29"/>
      <c r="O96" s="29"/>
      <c r="P96" s="29"/>
      <c r="Q96" s="29"/>
      <c r="R96" s="29"/>
      <c r="S96" s="29"/>
      <c r="T96" s="29"/>
      <c r="U96" s="29"/>
      <c r="V96" s="29"/>
    </row>
    <row r="97" spans="1:22">
      <c r="A97" s="29"/>
      <c r="B97" s="29"/>
      <c r="C97" s="1298"/>
      <c r="D97" s="1301"/>
      <c r="E97" s="516" t="s">
        <v>182</v>
      </c>
      <c r="F97" s="984"/>
      <c r="G97" s="984"/>
      <c r="H97" s="790"/>
      <c r="I97" s="29"/>
      <c r="J97" s="29"/>
      <c r="K97" s="29"/>
      <c r="L97" s="29"/>
      <c r="M97" s="29"/>
      <c r="N97" s="29"/>
      <c r="O97" s="29"/>
      <c r="P97" s="29"/>
      <c r="Q97" s="29"/>
      <c r="R97" s="29"/>
      <c r="S97" s="29"/>
      <c r="T97" s="29"/>
      <c r="U97" s="29"/>
      <c r="V97" s="29"/>
    </row>
    <row r="98" spans="1:22">
      <c r="A98" s="29"/>
      <c r="B98" s="29"/>
      <c r="C98" s="1298"/>
      <c r="D98" s="1301"/>
      <c r="E98" s="515" t="s">
        <v>475</v>
      </c>
      <c r="F98" s="261">
        <f>SUM(Ettev_kalk!BY61:BY62)</f>
        <v>0</v>
      </c>
      <c r="G98" s="261" t="s">
        <v>165</v>
      </c>
      <c r="H98" s="789">
        <f>Ettev_kalk!CB61/1000</f>
        <v>0</v>
      </c>
      <c r="I98" s="29"/>
      <c r="J98" s="29"/>
      <c r="K98" s="29"/>
      <c r="L98" s="29"/>
      <c r="M98" s="29"/>
      <c r="N98" s="29"/>
      <c r="O98" s="29"/>
      <c r="P98" s="29"/>
      <c r="Q98" s="29"/>
      <c r="R98" s="29"/>
      <c r="S98" s="29"/>
      <c r="T98" s="29"/>
      <c r="U98" s="29"/>
      <c r="V98" s="29"/>
    </row>
    <row r="99" spans="1:22">
      <c r="A99" s="29"/>
      <c r="B99" s="29"/>
      <c r="C99" s="1298"/>
      <c r="D99" s="1301"/>
      <c r="E99" s="516" t="s">
        <v>183</v>
      </c>
      <c r="F99" s="984"/>
      <c r="G99" s="984"/>
      <c r="H99" s="790"/>
      <c r="I99" s="29"/>
      <c r="J99" s="29"/>
      <c r="K99" s="29"/>
      <c r="L99" s="29"/>
      <c r="M99" s="29"/>
      <c r="N99" s="29"/>
      <c r="O99" s="29"/>
      <c r="P99" s="29"/>
      <c r="Q99" s="29"/>
      <c r="R99" s="29"/>
      <c r="S99" s="29"/>
      <c r="T99" s="29"/>
      <c r="U99" s="29"/>
      <c r="V99" s="29"/>
    </row>
    <row r="100" spans="1:22" ht="15" thickBot="1">
      <c r="A100" s="29"/>
      <c r="B100" s="29"/>
      <c r="C100" s="1299"/>
      <c r="D100" s="1302"/>
      <c r="E100" s="515" t="s">
        <v>475</v>
      </c>
      <c r="F100" s="261">
        <f>SUM(Ettev_kalk!CF10:CF11)</f>
        <v>0</v>
      </c>
      <c r="G100" s="261" t="s">
        <v>165</v>
      </c>
      <c r="H100" s="789">
        <f>Ettev_kalk!CI10/1000</f>
        <v>0</v>
      </c>
      <c r="I100" s="29"/>
      <c r="J100" s="29"/>
      <c r="K100" s="29"/>
      <c r="L100" s="29"/>
      <c r="M100" s="29"/>
      <c r="N100" s="29"/>
      <c r="O100" s="29"/>
      <c r="P100" s="29"/>
      <c r="Q100" s="29"/>
      <c r="R100" s="29"/>
      <c r="S100" s="29"/>
      <c r="T100" s="29"/>
      <c r="U100" s="29"/>
      <c r="V100" s="29"/>
    </row>
    <row r="101" spans="1:22" ht="15" customHeight="1">
      <c r="A101" s="29"/>
      <c r="B101" s="29"/>
      <c r="C101" s="1318" t="s">
        <v>429</v>
      </c>
      <c r="D101" s="1334" t="s">
        <v>476</v>
      </c>
      <c r="E101" s="999" t="s">
        <v>185</v>
      </c>
      <c r="F101" s="1000"/>
      <c r="G101" s="1001"/>
      <c r="H101" s="1002"/>
      <c r="I101" s="29"/>
      <c r="J101" s="29"/>
      <c r="K101" s="29"/>
      <c r="L101" s="29"/>
      <c r="M101" s="29"/>
      <c r="N101" s="29"/>
      <c r="O101" s="29"/>
      <c r="P101" s="29"/>
      <c r="Q101" s="29"/>
      <c r="R101" s="29"/>
      <c r="S101" s="29"/>
      <c r="T101" s="29"/>
      <c r="U101" s="29"/>
      <c r="V101" s="29"/>
    </row>
    <row r="102" spans="1:22" ht="14.9" customHeight="1">
      <c r="A102" s="29"/>
      <c r="B102" s="29"/>
      <c r="C102" s="1319"/>
      <c r="D102" s="1325"/>
      <c r="E102" s="487" t="s">
        <v>477</v>
      </c>
      <c r="F102" s="397"/>
      <c r="G102" s="27"/>
      <c r="H102" s="792">
        <f>Ettev_kalk!BU66/1000</f>
        <v>0</v>
      </c>
      <c r="I102" s="29"/>
      <c r="J102" s="29"/>
      <c r="K102" s="29"/>
      <c r="L102" s="29"/>
      <c r="M102" s="29"/>
      <c r="N102" s="29"/>
      <c r="O102" s="29"/>
      <c r="P102" s="29"/>
      <c r="Q102" s="29"/>
      <c r="R102" s="29"/>
      <c r="S102" s="29"/>
      <c r="T102" s="29"/>
      <c r="U102" s="29"/>
      <c r="V102" s="29"/>
    </row>
    <row r="103" spans="1:22">
      <c r="A103" s="29"/>
      <c r="B103" s="29"/>
      <c r="C103" s="1319"/>
      <c r="D103" s="1325"/>
      <c r="E103" s="487" t="s">
        <v>442</v>
      </c>
      <c r="F103" s="397">
        <f>SUM(Ettev_kalk!BI127:BI136)</f>
        <v>0</v>
      </c>
      <c r="G103" s="27" t="s">
        <v>443</v>
      </c>
      <c r="H103" s="792">
        <f>Ettev_kalk!BM127/1000</f>
        <v>0</v>
      </c>
      <c r="I103" s="29"/>
      <c r="J103" s="29"/>
      <c r="K103" s="29"/>
      <c r="L103" s="29"/>
      <c r="M103" s="29"/>
      <c r="N103" s="29"/>
      <c r="O103" s="29"/>
      <c r="P103" s="29"/>
      <c r="Q103" s="29"/>
      <c r="R103" s="29"/>
      <c r="S103" s="29"/>
      <c r="T103" s="29"/>
      <c r="U103" s="29"/>
      <c r="V103" s="29"/>
    </row>
    <row r="104" spans="1:22">
      <c r="A104" s="29"/>
      <c r="B104" s="29"/>
      <c r="C104" s="1319"/>
      <c r="D104" s="1325"/>
      <c r="E104" s="487" t="s">
        <v>478</v>
      </c>
      <c r="F104" s="397">
        <f>Loomakasvatus!D37</f>
        <v>0</v>
      </c>
      <c r="G104" s="27" t="s">
        <v>238</v>
      </c>
      <c r="H104" s="792">
        <f>Ettev_kalk!CG65/1000</f>
        <v>0</v>
      </c>
      <c r="I104" s="29"/>
      <c r="J104" s="29"/>
      <c r="K104" s="29"/>
      <c r="L104" s="29"/>
      <c r="M104" s="29"/>
      <c r="N104" s="29"/>
      <c r="O104" s="29"/>
      <c r="P104" s="29"/>
      <c r="Q104" s="29"/>
      <c r="R104" s="29"/>
      <c r="S104" s="29"/>
      <c r="T104" s="29"/>
      <c r="U104" s="29"/>
      <c r="V104" s="29"/>
    </row>
    <row r="105" spans="1:22">
      <c r="A105" s="29"/>
      <c r="B105" s="29"/>
      <c r="C105" s="1319"/>
      <c r="D105" s="1325"/>
      <c r="E105" s="518" t="s">
        <v>180</v>
      </c>
      <c r="F105" s="991"/>
      <c r="G105" s="985"/>
      <c r="H105" s="791"/>
      <c r="I105" s="29"/>
      <c r="J105" s="29"/>
      <c r="K105" s="29"/>
      <c r="L105" s="29"/>
      <c r="M105" s="29"/>
      <c r="N105" s="29"/>
      <c r="O105" s="29"/>
      <c r="P105" s="29"/>
      <c r="Q105" s="29"/>
      <c r="R105" s="29"/>
      <c r="S105" s="29"/>
      <c r="T105" s="29"/>
      <c r="U105" s="29"/>
      <c r="V105" s="29"/>
    </row>
    <row r="106" spans="1:22">
      <c r="A106" s="29"/>
      <c r="B106" s="29"/>
      <c r="C106" s="1319"/>
      <c r="D106" s="1325"/>
      <c r="E106" s="487" t="s">
        <v>477</v>
      </c>
      <c r="F106" s="397"/>
      <c r="G106" s="27"/>
      <c r="H106" s="792">
        <f>Ettev_kalk!BU13/1000</f>
        <v>0</v>
      </c>
      <c r="I106" s="29"/>
      <c r="J106" s="29"/>
      <c r="K106" s="29"/>
      <c r="L106" s="29"/>
      <c r="M106" s="29"/>
      <c r="N106" s="29"/>
      <c r="O106" s="29"/>
      <c r="P106" s="29"/>
      <c r="Q106" s="29"/>
      <c r="R106" s="29"/>
      <c r="S106" s="29"/>
      <c r="T106" s="29"/>
      <c r="U106" s="29"/>
      <c r="V106" s="29"/>
    </row>
    <row r="107" spans="1:22">
      <c r="A107" s="29"/>
      <c r="B107" s="29"/>
      <c r="C107" s="1319"/>
      <c r="D107" s="1325"/>
      <c r="E107" s="487" t="s">
        <v>442</v>
      </c>
      <c r="F107" s="397">
        <f>SUM(Ettev_kalk!BI117:BI126)</f>
        <v>0</v>
      </c>
      <c r="G107" s="27" t="s">
        <v>443</v>
      </c>
      <c r="H107" s="792">
        <f>Ettev_kalk!BM117/1000</f>
        <v>0</v>
      </c>
      <c r="I107" s="29"/>
      <c r="J107" s="29"/>
      <c r="K107" s="29"/>
      <c r="L107" s="29"/>
      <c r="M107" s="29"/>
      <c r="N107" s="29"/>
      <c r="O107" s="29"/>
      <c r="P107" s="29"/>
      <c r="Q107" s="29"/>
      <c r="R107" s="29"/>
      <c r="S107" s="29"/>
      <c r="T107" s="29"/>
      <c r="U107" s="29"/>
      <c r="V107" s="29"/>
    </row>
    <row r="108" spans="1:22">
      <c r="A108" s="29"/>
      <c r="B108" s="29"/>
      <c r="C108" s="1319"/>
      <c r="D108" s="1325"/>
      <c r="E108" s="487" t="s">
        <v>478</v>
      </c>
      <c r="F108" s="397">
        <f>Loomakasvatus!D129</f>
        <v>0</v>
      </c>
      <c r="G108" s="27" t="s">
        <v>238</v>
      </c>
      <c r="H108" s="792">
        <f>Ettev_kalk!CG62/1000</f>
        <v>0</v>
      </c>
      <c r="I108" s="29"/>
      <c r="J108" s="29"/>
      <c r="K108" s="29"/>
      <c r="L108" s="29"/>
      <c r="M108" s="29"/>
      <c r="N108" s="29"/>
      <c r="O108" s="29"/>
      <c r="P108" s="29"/>
      <c r="Q108" s="29"/>
      <c r="R108" s="29"/>
      <c r="S108" s="29"/>
      <c r="T108" s="29"/>
      <c r="U108" s="29"/>
      <c r="V108" s="29"/>
    </row>
    <row r="109" spans="1:22">
      <c r="A109" s="29"/>
      <c r="B109" s="29"/>
      <c r="C109" s="1319"/>
      <c r="D109" s="1325"/>
      <c r="E109" s="518" t="s">
        <v>178</v>
      </c>
      <c r="F109" s="991"/>
      <c r="G109" s="985"/>
      <c r="H109" s="791"/>
      <c r="I109" s="29"/>
      <c r="J109" s="29"/>
      <c r="K109" s="29"/>
      <c r="L109" s="29"/>
      <c r="M109" s="29"/>
      <c r="N109" s="29"/>
      <c r="O109" s="29"/>
      <c r="P109" s="29"/>
      <c r="Q109" s="29"/>
      <c r="R109" s="29"/>
      <c r="S109" s="29"/>
      <c r="T109" s="29"/>
      <c r="U109" s="29"/>
      <c r="V109" s="29"/>
    </row>
    <row r="110" spans="1:22">
      <c r="A110" s="29"/>
      <c r="B110" s="29"/>
      <c r="C110" s="1319"/>
      <c r="D110" s="1325"/>
      <c r="E110" s="487" t="s">
        <v>477</v>
      </c>
      <c r="F110" s="397"/>
      <c r="G110" s="27"/>
      <c r="H110" s="792">
        <f>Ettev_kalk!BM13/1000</f>
        <v>0</v>
      </c>
      <c r="I110" s="29"/>
      <c r="J110" s="29"/>
      <c r="K110" s="29"/>
      <c r="L110" s="29"/>
      <c r="M110" s="29"/>
      <c r="N110" s="29"/>
      <c r="O110" s="29"/>
      <c r="P110" s="29"/>
      <c r="Q110" s="29"/>
      <c r="R110" s="29"/>
      <c r="S110" s="29"/>
      <c r="T110" s="29"/>
      <c r="U110" s="29"/>
      <c r="V110" s="29"/>
    </row>
    <row r="111" spans="1:22">
      <c r="A111" s="29"/>
      <c r="B111" s="29"/>
      <c r="C111" s="1319"/>
      <c r="D111" s="1325"/>
      <c r="E111" s="487" t="s">
        <v>442</v>
      </c>
      <c r="F111" s="397">
        <f>SUM(Ettev_kalk!BI97:BI106)</f>
        <v>0</v>
      </c>
      <c r="G111" s="27" t="s">
        <v>443</v>
      </c>
      <c r="H111" s="792">
        <f>Ettev_kalk!BM97/1000</f>
        <v>0</v>
      </c>
      <c r="I111" s="29"/>
      <c r="J111" s="29"/>
      <c r="K111" s="29"/>
      <c r="L111" s="29"/>
      <c r="M111" s="29"/>
      <c r="N111" s="29"/>
      <c r="O111" s="29"/>
      <c r="P111" s="29"/>
      <c r="Q111" s="29"/>
      <c r="R111" s="29"/>
      <c r="S111" s="29"/>
      <c r="T111" s="29"/>
      <c r="U111" s="29"/>
      <c r="V111" s="29"/>
    </row>
    <row r="112" spans="1:22">
      <c r="A112" s="29"/>
      <c r="B112" s="29"/>
      <c r="C112" s="1319"/>
      <c r="D112" s="1325"/>
      <c r="E112" s="487" t="s">
        <v>479</v>
      </c>
      <c r="F112" s="397">
        <f>Loomakasvatus!D217</f>
        <v>0</v>
      </c>
      <c r="G112" s="27" t="s">
        <v>299</v>
      </c>
      <c r="H112" s="792">
        <f>Loomakasvatus!D217*0.52/1000</f>
        <v>0</v>
      </c>
      <c r="I112" s="29"/>
      <c r="J112" s="29"/>
      <c r="K112" s="29"/>
      <c r="L112" s="29"/>
      <c r="M112" s="29"/>
      <c r="N112" s="29"/>
      <c r="O112" s="29"/>
      <c r="P112" s="29"/>
      <c r="Q112" s="29"/>
      <c r="R112" s="29"/>
      <c r="S112" s="29"/>
      <c r="T112" s="29"/>
      <c r="U112" s="29"/>
      <c r="V112" s="29"/>
    </row>
    <row r="113" spans="1:22">
      <c r="A113" s="29"/>
      <c r="B113" s="29"/>
      <c r="C113" s="1319"/>
      <c r="D113" s="1325"/>
      <c r="E113" s="487" t="s">
        <v>478</v>
      </c>
      <c r="F113" s="397">
        <f>Ettev_kalk!CE60</f>
        <v>0</v>
      </c>
      <c r="G113" s="27" t="s">
        <v>238</v>
      </c>
      <c r="H113" s="792">
        <f>Ettev_kalk!CG60/1000</f>
        <v>0</v>
      </c>
      <c r="I113" s="29"/>
      <c r="J113" s="29"/>
      <c r="K113" s="29"/>
      <c r="L113" s="29"/>
      <c r="M113" s="29"/>
      <c r="N113" s="29"/>
      <c r="O113" s="29"/>
      <c r="P113" s="29"/>
      <c r="Q113" s="29"/>
      <c r="R113" s="29"/>
      <c r="S113" s="29"/>
      <c r="T113" s="29"/>
      <c r="U113" s="29"/>
      <c r="V113" s="29"/>
    </row>
    <row r="114" spans="1:22">
      <c r="A114" s="29"/>
      <c r="B114" s="29"/>
      <c r="C114" s="1319"/>
      <c r="D114" s="1325"/>
      <c r="E114" s="518" t="s">
        <v>179</v>
      </c>
      <c r="F114" s="991"/>
      <c r="G114" s="985"/>
      <c r="H114" s="791"/>
      <c r="I114" s="29"/>
      <c r="J114" s="29"/>
      <c r="K114" s="29"/>
      <c r="L114" s="29"/>
      <c r="M114" s="29"/>
      <c r="N114" s="29"/>
      <c r="O114" s="29"/>
      <c r="P114" s="29"/>
      <c r="Q114" s="29"/>
      <c r="R114" s="29"/>
      <c r="S114" s="29"/>
      <c r="T114" s="29"/>
      <c r="U114" s="29"/>
      <c r="V114" s="29"/>
    </row>
    <row r="115" spans="1:22">
      <c r="A115" s="29"/>
      <c r="B115" s="29"/>
      <c r="C115" s="1319"/>
      <c r="D115" s="1325"/>
      <c r="E115" s="487" t="s">
        <v>477</v>
      </c>
      <c r="F115" s="397"/>
      <c r="G115" s="27"/>
      <c r="H115" s="792">
        <f>Ettev_kalk!BM57/1000</f>
        <v>0</v>
      </c>
      <c r="I115" s="29"/>
      <c r="J115" s="29"/>
      <c r="K115" s="29"/>
      <c r="L115" s="29"/>
      <c r="M115" s="29"/>
      <c r="N115" s="29"/>
      <c r="O115" s="29"/>
      <c r="P115" s="29"/>
      <c r="Q115" s="29"/>
      <c r="R115" s="29"/>
      <c r="S115" s="29"/>
      <c r="T115" s="29"/>
      <c r="U115" s="29"/>
      <c r="V115" s="29"/>
    </row>
    <row r="116" spans="1:22">
      <c r="A116" s="29"/>
      <c r="B116" s="29"/>
      <c r="C116" s="1319"/>
      <c r="D116" s="1325"/>
      <c r="E116" s="487" t="s">
        <v>442</v>
      </c>
      <c r="F116" s="397">
        <f>SUM(Ettev_kalk!BI107:BI116)</f>
        <v>0</v>
      </c>
      <c r="G116" s="27" t="s">
        <v>443</v>
      </c>
      <c r="H116" s="792">
        <f>Ettev_kalk!BM107/1000</f>
        <v>0</v>
      </c>
      <c r="I116" s="29"/>
      <c r="J116" s="29"/>
      <c r="K116" s="29"/>
      <c r="L116" s="29"/>
      <c r="M116" s="29"/>
      <c r="N116" s="29"/>
      <c r="O116" s="29"/>
      <c r="P116" s="29"/>
      <c r="Q116" s="29"/>
      <c r="R116" s="29"/>
      <c r="S116" s="29"/>
      <c r="T116" s="29"/>
      <c r="U116" s="29"/>
      <c r="V116" s="29"/>
    </row>
    <row r="117" spans="1:22">
      <c r="A117" s="29"/>
      <c r="B117" s="29"/>
      <c r="C117" s="1319"/>
      <c r="D117" s="1325"/>
      <c r="E117" s="487" t="s">
        <v>479</v>
      </c>
      <c r="F117" s="397">
        <f>Loomakasvatus!D306</f>
        <v>0</v>
      </c>
      <c r="G117" s="27" t="s">
        <v>299</v>
      </c>
      <c r="H117" s="792">
        <f>F117*0.52/1000</f>
        <v>0</v>
      </c>
      <c r="I117" s="29"/>
      <c r="J117" s="29"/>
      <c r="K117" s="29"/>
      <c r="L117" s="29"/>
      <c r="M117" s="29"/>
      <c r="N117" s="29"/>
      <c r="O117" s="29"/>
      <c r="P117" s="29"/>
      <c r="Q117" s="29"/>
      <c r="R117" s="29"/>
      <c r="S117" s="29"/>
      <c r="T117" s="29"/>
      <c r="U117" s="29"/>
      <c r="V117" s="29"/>
    </row>
    <row r="118" spans="1:22">
      <c r="A118" s="29"/>
      <c r="B118" s="29"/>
      <c r="C118" s="1319"/>
      <c r="D118" s="1325"/>
      <c r="E118" s="487" t="s">
        <v>478</v>
      </c>
      <c r="F118" s="397">
        <f>Loomakasvatus!D321</f>
        <v>0</v>
      </c>
      <c r="G118" s="27" t="s">
        <v>238</v>
      </c>
      <c r="H118" s="792">
        <f>Ettev_kalk!CG61/1000</f>
        <v>0</v>
      </c>
      <c r="I118" s="29"/>
      <c r="J118" s="29"/>
      <c r="K118" s="29"/>
      <c r="L118" s="29"/>
      <c r="M118" s="29"/>
      <c r="N118" s="29"/>
      <c r="O118" s="29"/>
      <c r="P118" s="29"/>
      <c r="Q118" s="29"/>
      <c r="R118" s="29"/>
      <c r="S118" s="29"/>
      <c r="T118" s="29"/>
      <c r="U118" s="29"/>
      <c r="V118" s="29"/>
    </row>
    <row r="119" spans="1:22">
      <c r="A119" s="29"/>
      <c r="B119" s="29"/>
      <c r="C119" s="1319"/>
      <c r="D119" s="1325"/>
      <c r="E119" s="518" t="s">
        <v>181</v>
      </c>
      <c r="F119" s="991"/>
      <c r="G119" s="985"/>
      <c r="H119" s="791"/>
      <c r="I119" s="29"/>
      <c r="J119" s="29"/>
      <c r="K119" s="29"/>
      <c r="L119" s="29"/>
      <c r="M119" s="29"/>
      <c r="N119" s="29"/>
      <c r="O119" s="29"/>
      <c r="P119" s="29"/>
      <c r="Q119" s="29"/>
      <c r="R119" s="29"/>
      <c r="S119" s="29"/>
      <c r="T119" s="29"/>
      <c r="U119" s="29"/>
      <c r="V119" s="29"/>
    </row>
    <row r="120" spans="1:22">
      <c r="A120" s="29"/>
      <c r="B120" s="29"/>
      <c r="C120" s="1319"/>
      <c r="D120" s="1325"/>
      <c r="E120" s="487" t="s">
        <v>477</v>
      </c>
      <c r="F120" s="397"/>
      <c r="G120" s="27"/>
      <c r="H120" s="792">
        <f>Ettev_kalk!CB13/1000</f>
        <v>0</v>
      </c>
      <c r="I120" s="29"/>
      <c r="J120" s="29"/>
      <c r="K120" s="29"/>
      <c r="L120" s="29"/>
      <c r="M120" s="29"/>
      <c r="N120" s="29"/>
      <c r="O120" s="29"/>
      <c r="P120" s="29"/>
      <c r="Q120" s="29"/>
      <c r="R120" s="29"/>
      <c r="S120" s="29"/>
      <c r="T120" s="29"/>
      <c r="U120" s="29"/>
      <c r="V120" s="29"/>
    </row>
    <row r="121" spans="1:22">
      <c r="A121" s="29"/>
      <c r="B121" s="29"/>
      <c r="C121" s="1319"/>
      <c r="D121" s="1325"/>
      <c r="E121" s="487" t="s">
        <v>442</v>
      </c>
      <c r="F121" s="397">
        <f>SUM(Ettev_kalk!BI137:BI146)</f>
        <v>0</v>
      </c>
      <c r="G121" s="27" t="s">
        <v>443</v>
      </c>
      <c r="H121" s="792">
        <f>Ettev_kalk!BM137/1000</f>
        <v>0</v>
      </c>
      <c r="I121" s="29"/>
      <c r="J121" s="29"/>
      <c r="K121" s="29"/>
      <c r="L121" s="29"/>
      <c r="M121" s="29"/>
      <c r="N121" s="29"/>
      <c r="O121" s="29"/>
      <c r="P121" s="29"/>
      <c r="Q121" s="29"/>
      <c r="R121" s="29"/>
      <c r="S121" s="29"/>
      <c r="T121" s="29"/>
      <c r="U121" s="29"/>
      <c r="V121" s="29"/>
    </row>
    <row r="122" spans="1:22">
      <c r="A122" s="29"/>
      <c r="B122" s="29"/>
      <c r="C122" s="1319"/>
      <c r="D122" s="1325"/>
      <c r="E122" s="487" t="s">
        <v>478</v>
      </c>
      <c r="F122" s="397">
        <f>Loomakasvatus!D412</f>
        <v>0</v>
      </c>
      <c r="G122" s="27" t="s">
        <v>238</v>
      </c>
      <c r="H122" s="792">
        <f>Ettev_kalk!CG66/1000</f>
        <v>0</v>
      </c>
      <c r="I122" s="29"/>
      <c r="J122" s="29"/>
      <c r="K122" s="29"/>
      <c r="L122" s="29"/>
      <c r="M122" s="29"/>
      <c r="N122" s="29"/>
      <c r="O122" s="29"/>
      <c r="P122" s="29"/>
      <c r="Q122" s="29"/>
      <c r="R122" s="29"/>
      <c r="S122" s="29"/>
      <c r="T122" s="29"/>
      <c r="U122" s="29"/>
      <c r="V122" s="29"/>
    </row>
    <row r="123" spans="1:22">
      <c r="A123" s="29"/>
      <c r="B123" s="29"/>
      <c r="C123" s="1319"/>
      <c r="D123" s="1325"/>
      <c r="E123" s="518" t="s">
        <v>182</v>
      </c>
      <c r="F123" s="991"/>
      <c r="G123" s="985"/>
      <c r="H123" s="791"/>
      <c r="I123" s="29"/>
      <c r="J123" s="29"/>
      <c r="K123" s="29"/>
      <c r="L123" s="29"/>
      <c r="M123" s="29"/>
      <c r="N123" s="29"/>
      <c r="O123" s="29"/>
      <c r="P123" s="29"/>
      <c r="Q123" s="29"/>
      <c r="R123" s="29"/>
      <c r="S123" s="29"/>
      <c r="T123" s="29"/>
      <c r="U123" s="29"/>
      <c r="V123" s="29"/>
    </row>
    <row r="124" spans="1:22">
      <c r="A124" s="29"/>
      <c r="B124" s="29"/>
      <c r="C124" s="1319"/>
      <c r="D124" s="1325"/>
      <c r="E124" s="487" t="s">
        <v>477</v>
      </c>
      <c r="F124" s="397"/>
      <c r="G124" s="27"/>
      <c r="H124" s="792">
        <f>Ettev_kalk!CB64/1000</f>
        <v>0</v>
      </c>
      <c r="I124" s="29"/>
      <c r="J124" s="29"/>
      <c r="K124" s="29"/>
      <c r="L124" s="29"/>
      <c r="M124" s="29"/>
      <c r="N124" s="29"/>
      <c r="O124" s="29"/>
      <c r="P124" s="29"/>
      <c r="Q124" s="29"/>
      <c r="R124" s="29"/>
      <c r="S124" s="29"/>
      <c r="T124" s="29"/>
      <c r="U124" s="29"/>
      <c r="V124" s="29"/>
    </row>
    <row r="125" spans="1:22">
      <c r="A125" s="29"/>
      <c r="B125" s="29"/>
      <c r="C125" s="1319"/>
      <c r="D125" s="1325"/>
      <c r="E125" s="487" t="s">
        <v>442</v>
      </c>
      <c r="F125" s="397">
        <f>SUM(Ettev_kalk!BI147:BI156)</f>
        <v>0</v>
      </c>
      <c r="G125" s="27" t="s">
        <v>443</v>
      </c>
      <c r="H125" s="792">
        <f>Ettev_kalk!BM147/1000</f>
        <v>0</v>
      </c>
      <c r="I125" s="29"/>
      <c r="J125" s="29"/>
      <c r="K125" s="29"/>
      <c r="L125" s="29"/>
      <c r="M125" s="29"/>
      <c r="N125" s="29"/>
      <c r="O125" s="29"/>
      <c r="P125" s="29"/>
      <c r="Q125" s="29"/>
      <c r="R125" s="29"/>
      <c r="S125" s="29"/>
      <c r="T125" s="29"/>
      <c r="U125" s="29"/>
      <c r="V125" s="29"/>
    </row>
    <row r="126" spans="1:22">
      <c r="A126" s="29"/>
      <c r="B126" s="29"/>
      <c r="C126" s="1319"/>
      <c r="D126" s="1325"/>
      <c r="E126" s="487" t="s">
        <v>478</v>
      </c>
      <c r="F126" s="397">
        <f>Loomakasvatus!D500</f>
        <v>0</v>
      </c>
      <c r="G126" s="27" t="s">
        <v>238</v>
      </c>
      <c r="H126" s="792">
        <f>Ettev_kalk!CG63/1000</f>
        <v>0</v>
      </c>
      <c r="I126" s="29"/>
      <c r="J126" s="29"/>
      <c r="K126" s="29"/>
      <c r="L126" s="29"/>
      <c r="M126" s="29"/>
      <c r="N126" s="29"/>
      <c r="O126" s="29"/>
      <c r="P126" s="29"/>
      <c r="Q126" s="29"/>
      <c r="R126" s="29"/>
      <c r="S126" s="29"/>
      <c r="T126" s="29"/>
      <c r="U126" s="29"/>
      <c r="V126" s="29"/>
    </row>
    <row r="127" spans="1:22">
      <c r="A127" s="29"/>
      <c r="B127" s="29"/>
      <c r="C127" s="1319"/>
      <c r="D127" s="1325"/>
      <c r="E127" s="518" t="s">
        <v>183</v>
      </c>
      <c r="F127" s="991"/>
      <c r="G127" s="985"/>
      <c r="H127" s="791"/>
      <c r="I127" s="29"/>
      <c r="J127" s="29"/>
      <c r="K127" s="29"/>
      <c r="L127" s="29"/>
      <c r="M127" s="29"/>
      <c r="N127" s="29"/>
      <c r="O127" s="29"/>
      <c r="P127" s="29"/>
      <c r="Q127" s="29"/>
      <c r="R127" s="29"/>
      <c r="S127" s="29"/>
      <c r="T127" s="29"/>
      <c r="U127" s="29"/>
      <c r="V127" s="29"/>
    </row>
    <row r="128" spans="1:22">
      <c r="A128" s="29"/>
      <c r="B128" s="29"/>
      <c r="C128" s="1319"/>
      <c r="D128" s="1325"/>
      <c r="E128" s="487" t="s">
        <v>477</v>
      </c>
      <c r="F128" s="397"/>
      <c r="G128" s="27"/>
      <c r="H128" s="792">
        <f>Ettev_kalk!CI13/1000</f>
        <v>0</v>
      </c>
      <c r="I128" s="29"/>
      <c r="J128" s="29"/>
      <c r="K128" s="29"/>
      <c r="L128" s="29"/>
      <c r="M128" s="29"/>
      <c r="N128" s="29"/>
      <c r="O128" s="29"/>
      <c r="P128" s="29"/>
      <c r="Q128" s="29"/>
      <c r="R128" s="29"/>
      <c r="S128" s="29"/>
      <c r="T128" s="29"/>
      <c r="U128" s="29"/>
      <c r="V128" s="29"/>
    </row>
    <row r="129" spans="1:22">
      <c r="A129" s="29"/>
      <c r="B129" s="29"/>
      <c r="C129" s="1319"/>
      <c r="D129" s="1325"/>
      <c r="E129" s="487" t="s">
        <v>442</v>
      </c>
      <c r="F129" s="397">
        <f>SUM(Ettev_kalk!BI157:BI166)</f>
        <v>0</v>
      </c>
      <c r="G129" s="27" t="s">
        <v>443</v>
      </c>
      <c r="H129" s="792">
        <f>Ettev_kalk!BM157/1000</f>
        <v>0</v>
      </c>
      <c r="I129" s="29"/>
      <c r="J129" s="29"/>
      <c r="K129" s="29"/>
      <c r="L129" s="29"/>
      <c r="M129" s="29"/>
      <c r="N129" s="29"/>
      <c r="O129" s="29"/>
      <c r="P129" s="29"/>
      <c r="Q129" s="29"/>
      <c r="R129" s="29"/>
      <c r="S129" s="29"/>
      <c r="T129" s="29"/>
      <c r="U129" s="29"/>
      <c r="V129" s="29"/>
    </row>
    <row r="130" spans="1:22">
      <c r="A130" s="29"/>
      <c r="B130" s="29"/>
      <c r="C130" s="1319"/>
      <c r="D130" s="1326"/>
      <c r="E130" s="487" t="s">
        <v>478</v>
      </c>
      <c r="F130" s="397">
        <f>Loomakasvatus!D588</f>
        <v>0</v>
      </c>
      <c r="G130" s="27" t="s">
        <v>238</v>
      </c>
      <c r="H130" s="792">
        <f>Ettev_kalk!CG64/1000</f>
        <v>0</v>
      </c>
      <c r="I130" s="29"/>
      <c r="J130" s="29"/>
      <c r="K130" s="29"/>
      <c r="L130" s="29"/>
      <c r="M130" s="29"/>
      <c r="N130" s="29"/>
      <c r="O130" s="29"/>
      <c r="P130" s="29"/>
      <c r="Q130" s="29"/>
      <c r="R130" s="29"/>
      <c r="S130" s="29"/>
      <c r="T130" s="29"/>
      <c r="U130" s="29"/>
      <c r="V130" s="29"/>
    </row>
    <row r="131" spans="1:22" ht="15" customHeight="1">
      <c r="A131" s="29"/>
      <c r="B131" s="29"/>
      <c r="C131" s="1319"/>
      <c r="D131" s="1324" t="s">
        <v>480</v>
      </c>
      <c r="E131" s="517" t="s">
        <v>185</v>
      </c>
      <c r="F131" s="987"/>
      <c r="G131" s="988"/>
      <c r="H131" s="989"/>
      <c r="I131" s="29"/>
      <c r="J131" s="29"/>
      <c r="K131" s="29"/>
      <c r="L131" s="29"/>
      <c r="M131" s="29"/>
      <c r="N131" s="29"/>
      <c r="O131" s="29"/>
      <c r="P131" s="29"/>
      <c r="Q131" s="29"/>
      <c r="R131" s="29"/>
      <c r="S131" s="29"/>
      <c r="T131" s="29"/>
      <c r="U131" s="29"/>
      <c r="V131" s="29"/>
    </row>
    <row r="132" spans="1:22">
      <c r="A132" s="29"/>
      <c r="B132" s="29"/>
      <c r="C132" s="1319"/>
      <c r="D132" s="1325"/>
      <c r="E132" s="487" t="s">
        <v>463</v>
      </c>
      <c r="F132" s="397"/>
      <c r="G132" s="27"/>
      <c r="H132" s="990">
        <f>Ettev_kalk!CG136/1000</f>
        <v>0</v>
      </c>
      <c r="I132" s="29"/>
      <c r="J132" s="29"/>
      <c r="K132" s="29"/>
      <c r="L132" s="29"/>
      <c r="M132" s="29"/>
      <c r="N132" s="29"/>
      <c r="O132" s="29"/>
      <c r="P132" s="29"/>
      <c r="Q132" s="29"/>
      <c r="R132" s="29"/>
      <c r="S132" s="29"/>
      <c r="T132" s="29"/>
      <c r="U132" s="29"/>
      <c r="V132" s="29"/>
    </row>
    <row r="133" spans="1:22">
      <c r="A133" s="29"/>
      <c r="B133" s="29"/>
      <c r="C133" s="1319"/>
      <c r="D133" s="1325"/>
      <c r="E133" s="487" t="s">
        <v>455</v>
      </c>
      <c r="F133" s="397"/>
      <c r="G133" s="27"/>
      <c r="H133" s="990">
        <f>Ettev_kalk!CG141/1000</f>
        <v>0</v>
      </c>
      <c r="I133" s="29"/>
      <c r="J133" s="29"/>
      <c r="K133" s="29"/>
      <c r="L133" s="29"/>
      <c r="M133" s="29"/>
      <c r="N133" s="29"/>
      <c r="O133" s="29"/>
      <c r="P133" s="29"/>
      <c r="Q133" s="29"/>
      <c r="R133" s="29"/>
      <c r="S133" s="29"/>
      <c r="T133" s="29"/>
      <c r="U133" s="29"/>
      <c r="V133" s="29"/>
    </row>
    <row r="134" spans="1:22">
      <c r="A134" s="29"/>
      <c r="B134" s="29"/>
      <c r="C134" s="1319"/>
      <c r="D134" s="1325"/>
      <c r="E134" s="518" t="s">
        <v>180</v>
      </c>
      <c r="F134" s="991"/>
      <c r="G134" s="985"/>
      <c r="H134" s="992"/>
      <c r="I134" s="29"/>
      <c r="J134" s="29"/>
      <c r="K134" s="29"/>
      <c r="L134" s="29"/>
      <c r="M134" s="29"/>
      <c r="N134" s="29"/>
      <c r="O134" s="29"/>
      <c r="P134" s="29"/>
      <c r="Q134" s="29"/>
      <c r="R134" s="29"/>
      <c r="S134" s="29"/>
      <c r="T134" s="29"/>
      <c r="U134" s="29"/>
      <c r="V134" s="29"/>
    </row>
    <row r="135" spans="1:22">
      <c r="A135" s="29"/>
      <c r="B135" s="29"/>
      <c r="C135" s="1319"/>
      <c r="D135" s="1325"/>
      <c r="E135" s="487" t="s">
        <v>463</v>
      </c>
      <c r="F135" s="397"/>
      <c r="G135" s="27"/>
      <c r="H135" s="990">
        <f>Ettev_kalk!CG108/1000</f>
        <v>0</v>
      </c>
      <c r="I135" s="29"/>
      <c r="J135" s="29"/>
      <c r="K135" s="29"/>
      <c r="L135" s="29"/>
      <c r="M135" s="29"/>
      <c r="N135" s="29"/>
      <c r="O135" s="29"/>
      <c r="P135" s="29"/>
      <c r="Q135" s="29"/>
      <c r="R135" s="29"/>
      <c r="S135" s="29"/>
      <c r="T135" s="29"/>
      <c r="U135" s="29"/>
      <c r="V135" s="29"/>
    </row>
    <row r="136" spans="1:22">
      <c r="A136" s="29"/>
      <c r="B136" s="29"/>
      <c r="C136" s="1319"/>
      <c r="D136" s="1325"/>
      <c r="E136" s="487" t="s">
        <v>455</v>
      </c>
      <c r="F136" s="397"/>
      <c r="G136" s="27"/>
      <c r="H136" s="990">
        <f>Ettev_kalk!CG113/1000</f>
        <v>0</v>
      </c>
      <c r="I136" s="29"/>
      <c r="J136" s="29"/>
      <c r="K136" s="29"/>
      <c r="L136" s="29"/>
      <c r="M136" s="29"/>
      <c r="N136" s="29"/>
      <c r="O136" s="29"/>
      <c r="P136" s="29"/>
      <c r="Q136" s="29"/>
      <c r="R136" s="29"/>
      <c r="S136" s="29"/>
      <c r="T136" s="29"/>
      <c r="U136" s="29"/>
      <c r="V136" s="29"/>
    </row>
    <row r="137" spans="1:22">
      <c r="A137" s="29"/>
      <c r="B137" s="29"/>
      <c r="C137" s="1319"/>
      <c r="D137" s="1325"/>
      <c r="E137" s="518" t="s">
        <v>178</v>
      </c>
      <c r="F137" s="991"/>
      <c r="G137" s="985"/>
      <c r="H137" s="992"/>
      <c r="I137" s="29"/>
      <c r="J137" s="29"/>
      <c r="K137" s="29"/>
      <c r="L137" s="29"/>
      <c r="M137" s="29"/>
      <c r="N137" s="29"/>
      <c r="O137" s="29"/>
      <c r="P137" s="29"/>
      <c r="Q137" s="29"/>
      <c r="R137" s="29"/>
      <c r="S137" s="29"/>
      <c r="T137" s="29"/>
      <c r="U137" s="29"/>
      <c r="V137" s="29"/>
    </row>
    <row r="138" spans="1:22">
      <c r="A138" s="29"/>
      <c r="B138" s="29"/>
      <c r="C138" s="1319"/>
      <c r="D138" s="1325"/>
      <c r="E138" s="487" t="s">
        <v>463</v>
      </c>
      <c r="F138" s="397"/>
      <c r="G138" s="27"/>
      <c r="H138" s="990">
        <f>Ettev_kalk!CA108/1000</f>
        <v>0</v>
      </c>
      <c r="I138" s="29"/>
      <c r="J138" s="29"/>
      <c r="K138" s="29"/>
      <c r="L138" s="29"/>
      <c r="M138" s="29"/>
      <c r="N138" s="29"/>
      <c r="O138" s="29"/>
      <c r="P138" s="29"/>
      <c r="Q138" s="29"/>
      <c r="R138" s="29"/>
      <c r="S138" s="29"/>
      <c r="T138" s="29"/>
      <c r="U138" s="29"/>
      <c r="V138" s="29"/>
    </row>
    <row r="139" spans="1:22">
      <c r="A139" s="29"/>
      <c r="B139" s="29"/>
      <c r="C139" s="1319"/>
      <c r="D139" s="1325"/>
      <c r="E139" s="487" t="s">
        <v>455</v>
      </c>
      <c r="F139" s="397"/>
      <c r="G139" s="27"/>
      <c r="H139" s="990">
        <f>Ettev_kalk!CA113/1000</f>
        <v>0</v>
      </c>
      <c r="I139" s="29"/>
      <c r="J139" s="29"/>
      <c r="K139" s="29"/>
      <c r="L139" s="29"/>
      <c r="M139" s="29"/>
      <c r="N139" s="29"/>
      <c r="O139" s="29"/>
      <c r="P139" s="29"/>
      <c r="Q139" s="29"/>
      <c r="R139" s="29"/>
      <c r="S139" s="29"/>
      <c r="T139" s="29"/>
      <c r="U139" s="29"/>
      <c r="V139" s="29"/>
    </row>
    <row r="140" spans="1:22">
      <c r="A140" s="29"/>
      <c r="B140" s="29"/>
      <c r="C140" s="1319"/>
      <c r="D140" s="1325"/>
      <c r="E140" s="518" t="s">
        <v>179</v>
      </c>
      <c r="F140" s="991"/>
      <c r="G140" s="985"/>
      <c r="H140" s="992"/>
      <c r="I140" s="29"/>
      <c r="J140" s="29"/>
      <c r="K140" s="29"/>
      <c r="L140" s="29"/>
      <c r="M140" s="29"/>
      <c r="N140" s="29"/>
      <c r="O140" s="29"/>
      <c r="P140" s="29"/>
      <c r="Q140" s="29"/>
      <c r="R140" s="29"/>
      <c r="S140" s="29"/>
      <c r="T140" s="29"/>
      <c r="U140" s="29"/>
      <c r="V140" s="29"/>
    </row>
    <row r="141" spans="1:22">
      <c r="A141" s="29"/>
      <c r="B141" s="29"/>
      <c r="C141" s="1319"/>
      <c r="D141" s="1325"/>
      <c r="E141" s="487" t="s">
        <v>463</v>
      </c>
      <c r="F141" s="397"/>
      <c r="G141" s="27"/>
      <c r="H141" s="990">
        <f>Ettev_kalk!CA122/1000</f>
        <v>0</v>
      </c>
      <c r="I141" s="29"/>
      <c r="J141" s="29"/>
      <c r="K141" s="29"/>
      <c r="L141" s="29"/>
      <c r="M141" s="29"/>
      <c r="N141" s="29"/>
      <c r="O141" s="29"/>
      <c r="P141" s="29"/>
      <c r="Q141" s="29"/>
      <c r="R141" s="29"/>
      <c r="S141" s="29"/>
      <c r="T141" s="29"/>
      <c r="U141" s="29"/>
      <c r="V141" s="29"/>
    </row>
    <row r="142" spans="1:22">
      <c r="A142" s="29"/>
      <c r="B142" s="29"/>
      <c r="C142" s="1319"/>
      <c r="D142" s="1325"/>
      <c r="E142" s="487" t="s">
        <v>455</v>
      </c>
      <c r="F142" s="397"/>
      <c r="G142" s="27"/>
      <c r="H142" s="990">
        <f>Ettev_kalk!CA127/1000</f>
        <v>0</v>
      </c>
      <c r="I142" s="29"/>
      <c r="J142" s="29"/>
      <c r="K142" s="29"/>
      <c r="L142" s="29"/>
      <c r="M142" s="29"/>
      <c r="N142" s="29"/>
      <c r="O142" s="29"/>
      <c r="P142" s="29"/>
      <c r="Q142" s="29"/>
      <c r="R142" s="29"/>
      <c r="S142" s="29"/>
      <c r="T142" s="29"/>
      <c r="U142" s="29"/>
      <c r="V142" s="29"/>
    </row>
    <row r="143" spans="1:22">
      <c r="A143" s="29"/>
      <c r="B143" s="29"/>
      <c r="C143" s="1319"/>
      <c r="D143" s="1325"/>
      <c r="E143" s="518" t="s">
        <v>181</v>
      </c>
      <c r="F143" s="991"/>
      <c r="G143" s="985"/>
      <c r="H143" s="992"/>
      <c r="I143" s="29"/>
      <c r="J143" s="29"/>
      <c r="K143" s="29"/>
      <c r="L143" s="29"/>
      <c r="M143" s="29"/>
      <c r="N143" s="29"/>
      <c r="O143" s="29"/>
      <c r="P143" s="29"/>
      <c r="Q143" s="29"/>
      <c r="R143" s="29"/>
      <c r="S143" s="29"/>
      <c r="T143" s="29"/>
      <c r="U143" s="29"/>
      <c r="V143" s="29"/>
    </row>
    <row r="144" spans="1:22">
      <c r="A144" s="29"/>
      <c r="B144" s="29"/>
      <c r="C144" s="1319"/>
      <c r="D144" s="1325"/>
      <c r="E144" s="487" t="s">
        <v>463</v>
      </c>
      <c r="F144" s="397"/>
      <c r="G144" s="27"/>
      <c r="H144" s="990">
        <f>Ettev_kalk!CM122/1000</f>
        <v>0</v>
      </c>
      <c r="I144" s="29"/>
      <c r="J144" s="29"/>
      <c r="K144" s="29"/>
      <c r="L144" s="29"/>
      <c r="M144" s="29"/>
      <c r="N144" s="29"/>
      <c r="O144" s="29"/>
      <c r="P144" s="29"/>
      <c r="Q144" s="29"/>
      <c r="R144" s="29"/>
      <c r="S144" s="29"/>
      <c r="T144" s="29"/>
      <c r="U144" s="29"/>
      <c r="V144" s="29"/>
    </row>
    <row r="145" spans="1:22">
      <c r="A145" s="29"/>
      <c r="B145" s="29"/>
      <c r="C145" s="1319"/>
      <c r="D145" s="1325"/>
      <c r="E145" s="487" t="s">
        <v>455</v>
      </c>
      <c r="F145" s="397"/>
      <c r="G145" s="27"/>
      <c r="H145" s="990">
        <f>Ettev_kalk!CM127/1000</f>
        <v>0</v>
      </c>
      <c r="I145" s="29"/>
      <c r="J145" s="29"/>
      <c r="K145" s="29"/>
      <c r="L145" s="29"/>
      <c r="M145" s="29"/>
      <c r="N145" s="29"/>
      <c r="O145" s="29"/>
      <c r="P145" s="29"/>
      <c r="Q145" s="29"/>
      <c r="R145" s="29"/>
      <c r="S145" s="29"/>
      <c r="T145" s="29"/>
      <c r="U145" s="29"/>
      <c r="V145" s="29"/>
    </row>
    <row r="146" spans="1:22">
      <c r="A146" s="29"/>
      <c r="B146" s="29"/>
      <c r="C146" s="1319"/>
      <c r="D146" s="1325"/>
      <c r="E146" s="518" t="s">
        <v>182</v>
      </c>
      <c r="F146" s="991"/>
      <c r="G146" s="985"/>
      <c r="H146" s="992"/>
      <c r="I146" s="29"/>
      <c r="J146" s="29"/>
      <c r="K146" s="29"/>
      <c r="L146" s="29"/>
      <c r="M146" s="29"/>
      <c r="N146" s="29"/>
      <c r="O146" s="29"/>
      <c r="P146" s="29"/>
      <c r="Q146" s="29"/>
      <c r="R146" s="29"/>
      <c r="S146" s="29"/>
      <c r="T146" s="29"/>
      <c r="U146" s="29"/>
      <c r="V146" s="29"/>
    </row>
    <row r="147" spans="1:22">
      <c r="A147" s="29"/>
      <c r="B147" s="29"/>
      <c r="C147" s="1319"/>
      <c r="D147" s="1325"/>
      <c r="E147" s="487" t="s">
        <v>463</v>
      </c>
      <c r="F147" s="397"/>
      <c r="G147" s="27"/>
      <c r="H147" s="990">
        <f>Ettev_kalk!CG122/1000</f>
        <v>0</v>
      </c>
      <c r="I147" s="29"/>
      <c r="J147" s="29"/>
      <c r="K147" s="29"/>
      <c r="L147" s="29"/>
      <c r="M147" s="29"/>
      <c r="N147" s="29"/>
      <c r="O147" s="29"/>
      <c r="P147" s="29"/>
      <c r="Q147" s="29"/>
      <c r="R147" s="29"/>
      <c r="S147" s="29"/>
      <c r="T147" s="29"/>
      <c r="U147" s="29"/>
      <c r="V147" s="29"/>
    </row>
    <row r="148" spans="1:22">
      <c r="A148" s="29"/>
      <c r="B148" s="29"/>
      <c r="C148" s="1319"/>
      <c r="D148" s="1325"/>
      <c r="E148" s="487" t="s">
        <v>455</v>
      </c>
      <c r="F148" s="397"/>
      <c r="G148" s="27"/>
      <c r="H148" s="990">
        <f>Ettev_kalk!CG127/1000</f>
        <v>0</v>
      </c>
      <c r="I148" s="29"/>
      <c r="J148" s="29"/>
      <c r="K148" s="29"/>
      <c r="L148" s="29"/>
      <c r="M148" s="29"/>
      <c r="N148" s="29"/>
      <c r="O148" s="29"/>
      <c r="P148" s="29"/>
      <c r="Q148" s="29"/>
      <c r="R148" s="29"/>
      <c r="S148" s="29"/>
      <c r="T148" s="29"/>
      <c r="U148" s="29"/>
      <c r="V148" s="29"/>
    </row>
    <row r="149" spans="1:22">
      <c r="A149" s="29"/>
      <c r="B149" s="29"/>
      <c r="C149" s="1319"/>
      <c r="D149" s="1325"/>
      <c r="E149" s="518" t="s">
        <v>183</v>
      </c>
      <c r="F149" s="991"/>
      <c r="G149" s="985"/>
      <c r="H149" s="992"/>
      <c r="I149" s="29"/>
      <c r="J149" s="29"/>
      <c r="K149" s="29"/>
      <c r="L149" s="29"/>
      <c r="M149" s="29"/>
      <c r="N149" s="29"/>
      <c r="O149" s="29"/>
      <c r="P149" s="29"/>
      <c r="Q149" s="29"/>
      <c r="R149" s="29"/>
      <c r="S149" s="29"/>
      <c r="T149" s="29"/>
      <c r="U149" s="29"/>
      <c r="V149" s="29"/>
    </row>
    <row r="150" spans="1:22">
      <c r="A150" s="29"/>
      <c r="B150" s="29"/>
      <c r="C150" s="1319"/>
      <c r="D150" s="1325"/>
      <c r="E150" s="487" t="s">
        <v>463</v>
      </c>
      <c r="F150" s="397"/>
      <c r="G150" s="27"/>
      <c r="H150" s="990">
        <f>Ettev_kalk!CM108/1000</f>
        <v>0</v>
      </c>
      <c r="I150" s="29"/>
      <c r="J150" s="29"/>
      <c r="K150" s="29"/>
      <c r="L150" s="29"/>
      <c r="M150" s="29"/>
      <c r="N150" s="29"/>
      <c r="O150" s="29"/>
      <c r="P150" s="29"/>
      <c r="Q150" s="29"/>
      <c r="R150" s="29"/>
      <c r="S150" s="29"/>
      <c r="T150" s="29"/>
      <c r="U150" s="29"/>
      <c r="V150" s="29"/>
    </row>
    <row r="151" spans="1:22">
      <c r="A151" s="29"/>
      <c r="B151" s="29"/>
      <c r="C151" s="1319"/>
      <c r="D151" s="1326"/>
      <c r="E151" s="491" t="s">
        <v>455</v>
      </c>
      <c r="F151" s="1006"/>
      <c r="G151" s="474"/>
      <c r="H151" s="1007">
        <f>Ettev_kalk!CM113/1000</f>
        <v>0</v>
      </c>
      <c r="I151" s="29"/>
      <c r="J151" s="29"/>
      <c r="K151" s="29"/>
      <c r="L151" s="29"/>
      <c r="M151" s="29"/>
      <c r="N151" s="29"/>
      <c r="O151" s="29"/>
      <c r="P151" s="29"/>
      <c r="Q151" s="29"/>
      <c r="R151" s="29"/>
      <c r="S151" s="29"/>
      <c r="T151" s="29"/>
      <c r="U151" s="29"/>
      <c r="V151" s="29"/>
    </row>
    <row r="152" spans="1:22">
      <c r="A152" s="29"/>
      <c r="B152" s="29"/>
      <c r="C152" s="1319"/>
      <c r="D152" s="1324" t="s">
        <v>481</v>
      </c>
      <c r="E152" s="1005" t="s">
        <v>185</v>
      </c>
      <c r="F152" s="1003"/>
      <c r="G152" s="489"/>
      <c r="H152" s="1004"/>
      <c r="I152" s="29"/>
      <c r="J152" s="29"/>
      <c r="K152" s="29"/>
      <c r="L152" s="29"/>
      <c r="M152" s="29"/>
      <c r="N152" s="29"/>
      <c r="O152" s="29"/>
      <c r="P152" s="29"/>
      <c r="Q152" s="29"/>
      <c r="R152" s="29"/>
      <c r="S152" s="29"/>
      <c r="T152" s="29"/>
      <c r="U152" s="29"/>
      <c r="V152" s="29"/>
    </row>
    <row r="153" spans="1:22">
      <c r="A153" s="29"/>
      <c r="B153" s="29"/>
      <c r="C153" s="1319"/>
      <c r="D153" s="1325"/>
      <c r="E153" s="519" t="s">
        <v>482</v>
      </c>
      <c r="F153" s="995"/>
      <c r="G153" s="777"/>
      <c r="H153" s="996">
        <f>Ettev_kalk!BS212/1000</f>
        <v>0</v>
      </c>
      <c r="I153" s="29"/>
      <c r="J153" s="29"/>
      <c r="K153" s="29"/>
      <c r="L153" s="29"/>
      <c r="M153" s="29"/>
      <c r="N153" s="29"/>
      <c r="O153" s="29"/>
      <c r="P153" s="29"/>
      <c r="Q153" s="29"/>
      <c r="R153" s="29"/>
      <c r="S153" s="29"/>
      <c r="T153" s="29"/>
      <c r="U153" s="29"/>
      <c r="V153" s="29"/>
    </row>
    <row r="154" spans="1:22">
      <c r="A154" s="29"/>
      <c r="B154" s="29"/>
      <c r="C154" s="1319"/>
      <c r="D154" s="1325"/>
      <c r="E154" s="520" t="s">
        <v>483</v>
      </c>
      <c r="F154" s="995"/>
      <c r="G154" s="777"/>
      <c r="H154" s="996">
        <f>Ettev_kalk!BS225/1000</f>
        <v>0</v>
      </c>
      <c r="I154" s="29"/>
      <c r="J154" s="29"/>
      <c r="K154" s="29"/>
      <c r="L154" s="29"/>
      <c r="M154" s="29"/>
      <c r="N154" s="29"/>
      <c r="O154" s="29"/>
      <c r="P154" s="29"/>
      <c r="Q154" s="29"/>
      <c r="R154" s="29"/>
      <c r="S154" s="29"/>
      <c r="T154" s="29"/>
      <c r="U154" s="29"/>
      <c r="V154" s="29"/>
    </row>
    <row r="155" spans="1:22">
      <c r="A155" s="29"/>
      <c r="B155" s="29"/>
      <c r="C155" s="1319"/>
      <c r="D155" s="1325"/>
      <c r="E155" s="521" t="s">
        <v>180</v>
      </c>
      <c r="F155" s="993"/>
      <c r="G155" s="986"/>
      <c r="H155" s="994"/>
      <c r="I155" s="29"/>
      <c r="J155" s="29"/>
      <c r="K155" s="29"/>
      <c r="L155" s="29"/>
      <c r="M155" s="29"/>
      <c r="N155" s="29"/>
      <c r="O155" s="29"/>
      <c r="P155" s="29"/>
      <c r="Q155" s="29"/>
      <c r="R155" s="29"/>
      <c r="S155" s="29"/>
      <c r="T155" s="29"/>
      <c r="U155" s="29"/>
      <c r="V155" s="29"/>
    </row>
    <row r="156" spans="1:22">
      <c r="A156" s="29"/>
      <c r="B156" s="29"/>
      <c r="C156" s="1319"/>
      <c r="D156" s="1325"/>
      <c r="E156" s="519" t="s">
        <v>482</v>
      </c>
      <c r="F156" s="995"/>
      <c r="G156" s="777"/>
      <c r="H156" s="996">
        <f>Ettev_kalk!BS174/1000</f>
        <v>0</v>
      </c>
      <c r="I156" s="29"/>
      <c r="J156" s="29"/>
      <c r="K156" s="29"/>
      <c r="L156" s="29"/>
      <c r="M156" s="29"/>
      <c r="N156" s="29"/>
      <c r="O156" s="29"/>
      <c r="P156" s="29"/>
      <c r="Q156" s="29"/>
      <c r="R156" s="29"/>
      <c r="S156" s="29"/>
      <c r="T156" s="29"/>
      <c r="U156" s="29"/>
      <c r="V156" s="29"/>
    </row>
    <row r="157" spans="1:22">
      <c r="A157" s="29"/>
      <c r="B157" s="29"/>
      <c r="C157" s="1319"/>
      <c r="D157" s="1325"/>
      <c r="E157" s="520" t="s">
        <v>483</v>
      </c>
      <c r="F157" s="995"/>
      <c r="G157" s="777"/>
      <c r="H157" s="996">
        <f>Ettev_kalk!BS190/1000</f>
        <v>0</v>
      </c>
      <c r="I157" s="29"/>
      <c r="J157" s="29"/>
      <c r="K157" s="29"/>
      <c r="L157" s="29"/>
      <c r="M157" s="29"/>
      <c r="N157" s="29"/>
      <c r="O157" s="29"/>
      <c r="P157" s="29"/>
      <c r="Q157" s="29"/>
      <c r="R157" s="29"/>
      <c r="S157" s="29"/>
      <c r="T157" s="29"/>
      <c r="U157" s="29"/>
      <c r="V157" s="29"/>
    </row>
    <row r="158" spans="1:22">
      <c r="A158" s="29"/>
      <c r="B158" s="29"/>
      <c r="C158" s="1319"/>
      <c r="D158" s="1325"/>
      <c r="E158" s="518" t="s">
        <v>178</v>
      </c>
      <c r="F158" s="993"/>
      <c r="G158" s="986"/>
      <c r="H158" s="994"/>
      <c r="I158" s="29"/>
      <c r="J158" s="29"/>
      <c r="K158" s="29"/>
      <c r="L158" s="29"/>
      <c r="M158" s="29"/>
      <c r="N158" s="29"/>
      <c r="O158" s="29"/>
      <c r="P158" s="29"/>
      <c r="Q158" s="29"/>
      <c r="R158" s="29"/>
      <c r="S158" s="29"/>
      <c r="T158" s="29"/>
      <c r="U158" s="29"/>
      <c r="V158" s="29"/>
    </row>
    <row r="159" spans="1:22">
      <c r="A159" s="29"/>
      <c r="B159" s="29"/>
      <c r="C159" s="1319"/>
      <c r="D159" s="1325"/>
      <c r="E159" s="519" t="s">
        <v>482</v>
      </c>
      <c r="F159" s="995"/>
      <c r="G159" s="777"/>
      <c r="H159" s="996">
        <f>Ettev_kalk!BM174/1000</f>
        <v>0</v>
      </c>
      <c r="I159" s="29"/>
      <c r="J159" s="29"/>
      <c r="K159" s="29"/>
      <c r="L159" s="29"/>
      <c r="M159" s="29"/>
      <c r="N159" s="29"/>
      <c r="O159" s="29"/>
      <c r="P159" s="29"/>
      <c r="Q159" s="29"/>
      <c r="R159" s="29"/>
      <c r="S159" s="29"/>
      <c r="T159" s="29"/>
      <c r="U159" s="29"/>
      <c r="V159" s="29"/>
    </row>
    <row r="160" spans="1:22">
      <c r="A160" s="29"/>
      <c r="B160" s="29"/>
      <c r="C160" s="1319"/>
      <c r="D160" s="1325"/>
      <c r="E160" s="520" t="s">
        <v>483</v>
      </c>
      <c r="F160" s="995"/>
      <c r="G160" s="777"/>
      <c r="H160" s="996">
        <f>Ettev_kalk!BM188/1000</f>
        <v>0</v>
      </c>
      <c r="I160" s="29"/>
      <c r="J160" s="29"/>
      <c r="K160" s="29"/>
      <c r="L160" s="29"/>
      <c r="M160" s="29"/>
      <c r="N160" s="29"/>
      <c r="O160" s="29"/>
      <c r="P160" s="29"/>
      <c r="Q160" s="29"/>
      <c r="R160" s="29"/>
      <c r="S160" s="29"/>
      <c r="T160" s="29"/>
      <c r="U160" s="29"/>
      <c r="V160" s="29"/>
    </row>
    <row r="161" spans="1:22">
      <c r="A161" s="29"/>
      <c r="B161" s="29"/>
      <c r="C161" s="1319"/>
      <c r="D161" s="1325"/>
      <c r="E161" s="521" t="s">
        <v>179</v>
      </c>
      <c r="F161" s="993"/>
      <c r="G161" s="986"/>
      <c r="H161" s="994"/>
      <c r="I161" s="29"/>
      <c r="J161" s="29"/>
      <c r="K161" s="29"/>
      <c r="L161" s="29"/>
      <c r="M161" s="29"/>
      <c r="N161" s="29"/>
      <c r="O161" s="29"/>
      <c r="P161" s="29"/>
      <c r="Q161" s="29"/>
      <c r="R161" s="29"/>
      <c r="S161" s="29"/>
      <c r="T161" s="29"/>
      <c r="U161" s="29"/>
      <c r="V161" s="29"/>
    </row>
    <row r="162" spans="1:22">
      <c r="A162" s="29"/>
      <c r="B162" s="29"/>
      <c r="C162" s="1319"/>
      <c r="D162" s="1325"/>
      <c r="E162" s="519" t="s">
        <v>482</v>
      </c>
      <c r="F162" s="995"/>
      <c r="G162" s="777"/>
      <c r="H162" s="996">
        <f>Ettev_kalk!BM211/1000</f>
        <v>0</v>
      </c>
      <c r="I162" s="29"/>
      <c r="J162" s="29"/>
      <c r="K162" s="29"/>
      <c r="L162" s="29"/>
      <c r="M162" s="29"/>
      <c r="N162" s="29"/>
      <c r="O162" s="29"/>
      <c r="P162" s="29"/>
      <c r="Q162" s="29"/>
      <c r="R162" s="29"/>
      <c r="S162" s="29"/>
      <c r="T162" s="29"/>
      <c r="U162" s="29"/>
      <c r="V162" s="29"/>
    </row>
    <row r="163" spans="1:22">
      <c r="A163" s="29"/>
      <c r="B163" s="29"/>
      <c r="C163" s="1319"/>
      <c r="D163" s="1325"/>
      <c r="E163" s="520" t="s">
        <v>483</v>
      </c>
      <c r="F163" s="995"/>
      <c r="G163" s="777"/>
      <c r="H163" s="996">
        <f>Ettev_kalk!BM228/1000</f>
        <v>0</v>
      </c>
      <c r="I163" s="29"/>
      <c r="J163" s="29"/>
      <c r="K163" s="29"/>
      <c r="L163" s="29"/>
      <c r="M163" s="29"/>
      <c r="N163" s="29"/>
      <c r="O163" s="29"/>
      <c r="P163" s="29"/>
      <c r="Q163" s="29"/>
      <c r="R163" s="29"/>
      <c r="S163" s="29"/>
      <c r="T163" s="29"/>
      <c r="U163" s="29"/>
      <c r="V163" s="29"/>
    </row>
    <row r="164" spans="1:22">
      <c r="A164" s="29"/>
      <c r="B164" s="29"/>
      <c r="C164" s="1319"/>
      <c r="D164" s="1325"/>
      <c r="E164" s="521" t="s">
        <v>181</v>
      </c>
      <c r="F164" s="993"/>
      <c r="G164" s="986"/>
      <c r="H164" s="994"/>
      <c r="I164" s="29"/>
      <c r="J164" s="29"/>
      <c r="K164" s="29"/>
      <c r="L164" s="29"/>
      <c r="M164" s="29"/>
      <c r="N164" s="29"/>
      <c r="O164" s="29"/>
      <c r="P164" s="29"/>
      <c r="Q164" s="29"/>
      <c r="R164" s="29"/>
      <c r="S164" s="29"/>
      <c r="T164" s="29"/>
      <c r="U164" s="29"/>
      <c r="V164" s="29"/>
    </row>
    <row r="165" spans="1:22">
      <c r="A165" s="29"/>
      <c r="B165" s="29"/>
      <c r="C165" s="1319"/>
      <c r="D165" s="1325"/>
      <c r="E165" s="519" t="s">
        <v>482</v>
      </c>
      <c r="F165" s="995"/>
      <c r="G165" s="777"/>
      <c r="H165" s="996">
        <f>Ettev_kalk!BY174/1000</f>
        <v>0</v>
      </c>
      <c r="I165" s="29"/>
      <c r="J165" s="29"/>
      <c r="K165" s="29"/>
      <c r="L165" s="29"/>
      <c r="M165" s="29"/>
      <c r="N165" s="29"/>
      <c r="O165" s="29"/>
      <c r="P165" s="29"/>
      <c r="Q165" s="29"/>
      <c r="R165" s="29"/>
      <c r="S165" s="29"/>
      <c r="T165" s="29"/>
      <c r="U165" s="29"/>
      <c r="V165" s="29"/>
    </row>
    <row r="166" spans="1:22">
      <c r="A166" s="29"/>
      <c r="B166" s="29"/>
      <c r="C166" s="1319"/>
      <c r="D166" s="1325"/>
      <c r="E166" s="520" t="s">
        <v>483</v>
      </c>
      <c r="F166" s="995"/>
      <c r="G166" s="777"/>
      <c r="H166" s="996">
        <f>Ettev_kalk!BY189/1000</f>
        <v>0</v>
      </c>
      <c r="I166" s="29"/>
      <c r="J166" s="29"/>
      <c r="K166" s="29"/>
      <c r="L166" s="29"/>
      <c r="M166" s="29"/>
      <c r="N166" s="29"/>
      <c r="O166" s="29"/>
      <c r="P166" s="29"/>
      <c r="Q166" s="29"/>
      <c r="R166" s="29"/>
      <c r="S166" s="29"/>
      <c r="T166" s="29"/>
      <c r="U166" s="29"/>
      <c r="V166" s="29"/>
    </row>
    <row r="167" spans="1:22">
      <c r="A167" s="29"/>
      <c r="B167" s="29"/>
      <c r="C167" s="1319"/>
      <c r="D167" s="1325"/>
      <c r="E167" s="521" t="s">
        <v>182</v>
      </c>
      <c r="F167" s="993"/>
      <c r="G167" s="986"/>
      <c r="H167" s="994"/>
      <c r="I167" s="29"/>
      <c r="J167" s="29"/>
      <c r="K167" s="29"/>
      <c r="L167" s="29"/>
      <c r="M167" s="29"/>
      <c r="N167" s="29"/>
      <c r="O167" s="29"/>
      <c r="P167" s="29"/>
      <c r="Q167" s="29"/>
      <c r="R167" s="29"/>
      <c r="S167" s="29"/>
      <c r="T167" s="29"/>
      <c r="U167" s="29"/>
      <c r="V167" s="29"/>
    </row>
    <row r="168" spans="1:22">
      <c r="A168" s="29"/>
      <c r="B168" s="29"/>
      <c r="C168" s="1319"/>
      <c r="D168" s="1325"/>
      <c r="E168" s="519" t="s">
        <v>482</v>
      </c>
      <c r="F168" s="995"/>
      <c r="G168" s="777"/>
      <c r="H168" s="996">
        <f>Ettev_kalk!BY211/1000</f>
        <v>0</v>
      </c>
      <c r="I168" s="29"/>
      <c r="J168" s="29"/>
      <c r="K168" s="29"/>
      <c r="L168" s="29"/>
      <c r="M168" s="29"/>
      <c r="N168" s="29"/>
      <c r="O168" s="29"/>
      <c r="P168" s="29"/>
      <c r="Q168" s="29"/>
      <c r="R168" s="29"/>
      <c r="S168" s="29"/>
      <c r="T168" s="29"/>
      <c r="U168" s="29"/>
      <c r="V168" s="29"/>
    </row>
    <row r="169" spans="1:22">
      <c r="A169" s="29"/>
      <c r="B169" s="29"/>
      <c r="C169" s="1319"/>
      <c r="D169" s="1325"/>
      <c r="E169" s="520" t="s">
        <v>483</v>
      </c>
      <c r="F169" s="995"/>
      <c r="G169" s="777"/>
      <c r="H169" s="996">
        <f>Ettev_kalk!BY226/1000</f>
        <v>0</v>
      </c>
      <c r="I169" s="29"/>
      <c r="J169" s="29"/>
      <c r="K169" s="29"/>
      <c r="L169" s="29"/>
      <c r="M169" s="29"/>
      <c r="N169" s="29"/>
      <c r="O169" s="29"/>
      <c r="P169" s="29"/>
      <c r="Q169" s="29"/>
      <c r="R169" s="29"/>
      <c r="S169" s="29"/>
      <c r="T169" s="29"/>
      <c r="U169" s="29"/>
      <c r="V169" s="29"/>
    </row>
    <row r="170" spans="1:22">
      <c r="A170" s="29"/>
      <c r="B170" s="29"/>
      <c r="C170" s="1319"/>
      <c r="D170" s="1325"/>
      <c r="E170" s="521" t="s">
        <v>183</v>
      </c>
      <c r="F170" s="993"/>
      <c r="G170" s="986"/>
      <c r="H170" s="994"/>
      <c r="I170" s="29"/>
      <c r="J170" s="29"/>
      <c r="K170" s="29"/>
      <c r="L170" s="29"/>
      <c r="M170" s="29"/>
      <c r="N170" s="29"/>
      <c r="O170" s="29"/>
      <c r="P170" s="29"/>
      <c r="Q170" s="29"/>
      <c r="R170" s="29"/>
      <c r="S170" s="29"/>
      <c r="T170" s="29"/>
      <c r="U170" s="29"/>
      <c r="V170" s="29"/>
    </row>
    <row r="171" spans="1:22">
      <c r="A171" s="29"/>
      <c r="B171" s="29"/>
      <c r="C171" s="1319"/>
      <c r="D171" s="1325"/>
      <c r="E171" s="519" t="s">
        <v>482</v>
      </c>
      <c r="F171" s="995"/>
      <c r="G171" s="777"/>
      <c r="H171" s="996">
        <f>Ettev_kalk!BM249/1000</f>
        <v>0</v>
      </c>
      <c r="I171" s="29"/>
      <c r="J171" s="29"/>
      <c r="K171" s="29"/>
      <c r="L171" s="29"/>
      <c r="M171" s="29"/>
      <c r="N171" s="29"/>
      <c r="O171" s="29"/>
      <c r="P171" s="29"/>
      <c r="Q171" s="29"/>
      <c r="R171" s="29"/>
      <c r="S171" s="29"/>
      <c r="T171" s="29"/>
      <c r="U171" s="29"/>
      <c r="V171" s="29"/>
    </row>
    <row r="172" spans="1:22">
      <c r="A172" s="29"/>
      <c r="B172" s="29"/>
      <c r="C172" s="1319"/>
      <c r="D172" s="1326"/>
      <c r="E172" s="522" t="s">
        <v>483</v>
      </c>
      <c r="F172" s="997"/>
      <c r="G172" s="473"/>
      <c r="H172" s="998">
        <f>Ettev_kalk!BM265/1000</f>
        <v>0</v>
      </c>
      <c r="I172" s="29"/>
      <c r="J172" s="29"/>
      <c r="K172" s="29"/>
      <c r="L172" s="29"/>
      <c r="M172" s="29"/>
      <c r="N172" s="29"/>
      <c r="O172" s="29"/>
      <c r="P172" s="29"/>
      <c r="Q172" s="29"/>
      <c r="R172" s="29"/>
      <c r="S172" s="29"/>
      <c r="T172" s="29"/>
      <c r="U172" s="29"/>
      <c r="V172" s="29"/>
    </row>
    <row r="173" spans="1:22">
      <c r="A173" s="29"/>
      <c r="B173" s="29"/>
      <c r="C173" s="1319"/>
      <c r="D173" s="1324" t="s">
        <v>452</v>
      </c>
      <c r="E173" s="517" t="s">
        <v>185</v>
      </c>
      <c r="F173" s="1003"/>
      <c r="G173" s="489"/>
      <c r="H173" s="1004"/>
      <c r="I173" s="29"/>
      <c r="J173" s="29"/>
      <c r="K173" s="29"/>
      <c r="L173" s="29"/>
      <c r="M173" s="29"/>
      <c r="N173" s="29"/>
      <c r="O173" s="29"/>
      <c r="P173" s="29"/>
      <c r="Q173" s="29"/>
      <c r="R173" s="29"/>
      <c r="S173" s="29"/>
      <c r="T173" s="29"/>
      <c r="U173" s="29"/>
      <c r="V173" s="29"/>
    </row>
    <row r="174" spans="1:22">
      <c r="A174" s="29"/>
      <c r="B174" s="29"/>
      <c r="C174" s="1319"/>
      <c r="D174" s="1325"/>
      <c r="E174" s="487" t="s">
        <v>453</v>
      </c>
      <c r="F174" s="995">
        <f>SUM(Ettev_kalk!BQ135:BQ143)</f>
        <v>0</v>
      </c>
      <c r="G174" s="777" t="s">
        <v>443</v>
      </c>
      <c r="H174" s="996">
        <f>Ettev_kalk!BU135/1000</f>
        <v>0</v>
      </c>
      <c r="I174" s="29"/>
      <c r="J174" s="29"/>
      <c r="K174" s="29"/>
      <c r="L174" s="29"/>
      <c r="M174" s="29"/>
      <c r="N174" s="29"/>
      <c r="O174" s="29"/>
      <c r="P174" s="29"/>
      <c r="Q174" s="29"/>
      <c r="R174" s="29"/>
      <c r="S174" s="29"/>
      <c r="T174" s="29"/>
      <c r="U174" s="29"/>
      <c r="V174" s="29"/>
    </row>
    <row r="175" spans="1:22">
      <c r="A175" s="29"/>
      <c r="B175" s="29"/>
      <c r="C175" s="1319"/>
      <c r="D175" s="1325"/>
      <c r="E175" s="518" t="s">
        <v>180</v>
      </c>
      <c r="F175" s="993"/>
      <c r="G175" s="986"/>
      <c r="H175" s="994"/>
      <c r="I175" s="29"/>
      <c r="J175" s="29"/>
      <c r="K175" s="29"/>
      <c r="L175" s="29"/>
      <c r="M175" s="29"/>
      <c r="N175" s="29"/>
      <c r="O175" s="29"/>
      <c r="P175" s="29"/>
      <c r="Q175" s="29"/>
      <c r="R175" s="29"/>
      <c r="S175" s="29"/>
      <c r="T175" s="29"/>
      <c r="U175" s="29"/>
      <c r="V175" s="29"/>
    </row>
    <row r="176" spans="1:22">
      <c r="A176" s="29"/>
      <c r="B176" s="29"/>
      <c r="C176" s="1319"/>
      <c r="D176" s="1325"/>
      <c r="E176" s="487" t="s">
        <v>453</v>
      </c>
      <c r="F176" s="995">
        <f>SUM(Ettev_kalk!BQ126:BQ134)</f>
        <v>0</v>
      </c>
      <c r="G176" s="777" t="s">
        <v>443</v>
      </c>
      <c r="H176" s="996">
        <f>Ettev_kalk!BU126/1000</f>
        <v>0</v>
      </c>
      <c r="I176" s="29"/>
      <c r="J176" s="29"/>
      <c r="K176" s="29"/>
      <c r="L176" s="29"/>
      <c r="M176" s="29"/>
      <c r="N176" s="29"/>
      <c r="O176" s="29"/>
      <c r="P176" s="29"/>
      <c r="Q176" s="29"/>
      <c r="R176" s="29"/>
      <c r="S176" s="29"/>
      <c r="T176" s="29"/>
      <c r="U176" s="29"/>
      <c r="V176" s="29"/>
    </row>
    <row r="177" spans="1:22">
      <c r="A177" s="29"/>
      <c r="B177" s="29"/>
      <c r="C177" s="1319"/>
      <c r="D177" s="1325"/>
      <c r="E177" s="518" t="s">
        <v>178</v>
      </c>
      <c r="F177" s="993"/>
      <c r="G177" s="986"/>
      <c r="H177" s="994"/>
      <c r="I177" s="29"/>
      <c r="J177" s="29"/>
      <c r="K177" s="29"/>
      <c r="L177" s="29"/>
      <c r="M177" s="29"/>
      <c r="N177" s="29"/>
      <c r="O177" s="29"/>
      <c r="P177" s="29"/>
      <c r="Q177" s="29"/>
      <c r="R177" s="29"/>
      <c r="S177" s="29"/>
      <c r="T177" s="29"/>
      <c r="U177" s="29"/>
      <c r="V177" s="29"/>
    </row>
    <row r="178" spans="1:22">
      <c r="A178" s="29"/>
      <c r="B178" s="29"/>
      <c r="C178" s="1319"/>
      <c r="D178" s="1325"/>
      <c r="E178" s="487" t="s">
        <v>453</v>
      </c>
      <c r="F178" s="995">
        <f>SUM(Ettev_kalk!BQ108:BQ116)</f>
        <v>0</v>
      </c>
      <c r="G178" s="777" t="s">
        <v>443</v>
      </c>
      <c r="H178" s="996">
        <f>Ettev_kalk!BU108/1000</f>
        <v>0</v>
      </c>
      <c r="I178" s="29"/>
      <c r="J178" s="29"/>
      <c r="K178" s="29"/>
      <c r="L178" s="29"/>
      <c r="M178" s="29"/>
      <c r="N178" s="29"/>
      <c r="O178" s="29"/>
      <c r="P178" s="29"/>
      <c r="Q178" s="29"/>
      <c r="R178" s="29"/>
      <c r="S178" s="29"/>
      <c r="T178" s="29"/>
      <c r="U178" s="29"/>
      <c r="V178" s="29"/>
    </row>
    <row r="179" spans="1:22">
      <c r="A179" s="29"/>
      <c r="B179" s="29"/>
      <c r="C179" s="1319"/>
      <c r="D179" s="1325"/>
      <c r="E179" s="518" t="s">
        <v>179</v>
      </c>
      <c r="F179" s="993"/>
      <c r="G179" s="986"/>
      <c r="H179" s="994"/>
      <c r="I179" s="29"/>
      <c r="J179" s="29"/>
      <c r="K179" s="29"/>
      <c r="L179" s="29"/>
      <c r="M179" s="29"/>
      <c r="N179" s="29"/>
      <c r="O179" s="29"/>
      <c r="P179" s="29"/>
      <c r="Q179" s="29"/>
      <c r="R179" s="29"/>
      <c r="S179" s="29"/>
      <c r="T179" s="29"/>
      <c r="U179" s="29"/>
      <c r="V179" s="29"/>
    </row>
    <row r="180" spans="1:22">
      <c r="A180" s="29"/>
      <c r="B180" s="29"/>
      <c r="C180" s="1319"/>
      <c r="D180" s="1325"/>
      <c r="E180" s="487" t="s">
        <v>453</v>
      </c>
      <c r="F180" s="995">
        <f>SUM(Ettev_kalk!BQ117:BQ125)</f>
        <v>0</v>
      </c>
      <c r="G180" s="777" t="s">
        <v>443</v>
      </c>
      <c r="H180" s="996">
        <f>Ettev_kalk!BU117/1000</f>
        <v>0</v>
      </c>
      <c r="I180" s="29"/>
      <c r="J180" s="29"/>
      <c r="K180" s="29"/>
      <c r="L180" s="29"/>
      <c r="M180" s="29"/>
      <c r="N180" s="29"/>
      <c r="O180" s="29"/>
      <c r="P180" s="29"/>
      <c r="Q180" s="29"/>
      <c r="R180" s="29"/>
      <c r="S180" s="29"/>
      <c r="T180" s="29"/>
      <c r="U180" s="29"/>
      <c r="V180" s="29"/>
    </row>
    <row r="181" spans="1:22">
      <c r="A181" s="29"/>
      <c r="B181" s="29"/>
      <c r="C181" s="1319"/>
      <c r="D181" s="1325"/>
      <c r="E181" s="518" t="s">
        <v>181</v>
      </c>
      <c r="F181" s="993"/>
      <c r="G181" s="986"/>
      <c r="H181" s="994"/>
      <c r="I181" s="29"/>
      <c r="J181" s="29"/>
      <c r="K181" s="29"/>
      <c r="L181" s="29"/>
      <c r="M181" s="29"/>
      <c r="N181" s="29"/>
      <c r="O181" s="29"/>
      <c r="P181" s="29"/>
      <c r="Q181" s="29"/>
      <c r="R181" s="29"/>
      <c r="S181" s="29"/>
      <c r="T181" s="29"/>
      <c r="U181" s="29"/>
      <c r="V181" s="29"/>
    </row>
    <row r="182" spans="1:22">
      <c r="A182" s="29"/>
      <c r="B182" s="29"/>
      <c r="C182" s="1319"/>
      <c r="D182" s="1325"/>
      <c r="E182" s="487" t="s">
        <v>453</v>
      </c>
      <c r="F182" s="995">
        <f>SUM(Ettev_kalk!BQ144:BQ152)</f>
        <v>0</v>
      </c>
      <c r="G182" s="777" t="s">
        <v>443</v>
      </c>
      <c r="H182" s="996">
        <f>Ettev_kalk!BU144/1000</f>
        <v>0</v>
      </c>
      <c r="I182" s="29"/>
      <c r="J182" s="29"/>
      <c r="K182" s="29"/>
      <c r="L182" s="29"/>
      <c r="M182" s="29"/>
      <c r="N182" s="29"/>
      <c r="O182" s="29"/>
      <c r="P182" s="29"/>
      <c r="Q182" s="29"/>
      <c r="R182" s="29"/>
      <c r="S182" s="29"/>
      <c r="T182" s="29"/>
      <c r="U182" s="29"/>
      <c r="V182" s="29"/>
    </row>
    <row r="183" spans="1:22">
      <c r="A183" s="29"/>
      <c r="B183" s="29"/>
      <c r="C183" s="1319"/>
      <c r="D183" s="1325"/>
      <c r="E183" s="518" t="s">
        <v>182</v>
      </c>
      <c r="F183" s="993"/>
      <c r="G183" s="986"/>
      <c r="H183" s="994"/>
      <c r="I183" s="29"/>
      <c r="J183" s="29"/>
      <c r="K183" s="29"/>
      <c r="L183" s="29"/>
      <c r="M183" s="29"/>
      <c r="N183" s="29"/>
      <c r="O183" s="29"/>
      <c r="P183" s="29"/>
      <c r="Q183" s="29"/>
      <c r="R183" s="29"/>
      <c r="S183" s="29"/>
      <c r="T183" s="29"/>
      <c r="U183" s="29"/>
      <c r="V183" s="29"/>
    </row>
    <row r="184" spans="1:22">
      <c r="A184" s="29"/>
      <c r="B184" s="29"/>
      <c r="C184" s="1319"/>
      <c r="D184" s="1325"/>
      <c r="E184" s="487" t="s">
        <v>453</v>
      </c>
      <c r="F184" s="995">
        <f>SUM(Ettev_kalk!BQ153:BQ161)</f>
        <v>0</v>
      </c>
      <c r="G184" s="777" t="s">
        <v>443</v>
      </c>
      <c r="H184" s="996">
        <f>Ettev_kalk!BU153/1000</f>
        <v>0</v>
      </c>
      <c r="I184" s="29"/>
      <c r="J184" s="29"/>
      <c r="K184" s="29"/>
      <c r="L184" s="29"/>
      <c r="M184" s="29"/>
      <c r="N184" s="29"/>
      <c r="O184" s="29"/>
      <c r="P184" s="29"/>
      <c r="Q184" s="29"/>
      <c r="R184" s="29"/>
      <c r="S184" s="29"/>
      <c r="T184" s="29"/>
      <c r="U184" s="29"/>
      <c r="V184" s="29"/>
    </row>
    <row r="185" spans="1:22">
      <c r="A185" s="29"/>
      <c r="B185" s="29"/>
      <c r="C185" s="1319"/>
      <c r="D185" s="1325"/>
      <c r="E185" s="518" t="s">
        <v>183</v>
      </c>
      <c r="F185" s="993"/>
      <c r="G185" s="986"/>
      <c r="H185" s="994"/>
      <c r="I185" s="29"/>
      <c r="J185" s="29"/>
      <c r="K185" s="29"/>
      <c r="L185" s="29"/>
      <c r="M185" s="29"/>
      <c r="N185" s="29"/>
      <c r="O185" s="29"/>
      <c r="P185" s="29"/>
      <c r="Q185" s="29"/>
      <c r="R185" s="29"/>
      <c r="S185" s="29"/>
      <c r="T185" s="29"/>
      <c r="U185" s="29"/>
      <c r="V185" s="29"/>
    </row>
    <row r="186" spans="1:22" ht="15" thickBot="1">
      <c r="A186" s="29"/>
      <c r="B186" s="29"/>
      <c r="C186" s="1320"/>
      <c r="D186" s="1335"/>
      <c r="E186" s="491" t="s">
        <v>453</v>
      </c>
      <c r="F186" s="997">
        <f>SUM(Ettev_kalk!BQ162:BQ170)</f>
        <v>0</v>
      </c>
      <c r="G186" s="473" t="s">
        <v>443</v>
      </c>
      <c r="H186" s="998">
        <f>Ettev_kalk!BU162/1000</f>
        <v>0</v>
      </c>
      <c r="I186" s="29"/>
      <c r="J186" s="29"/>
      <c r="K186" s="29"/>
      <c r="L186" s="29"/>
      <c r="M186" s="29"/>
      <c r="N186" s="29"/>
      <c r="O186" s="29"/>
      <c r="P186" s="29"/>
      <c r="Q186" s="29"/>
      <c r="R186" s="29"/>
      <c r="S186" s="29"/>
      <c r="T186" s="29"/>
      <c r="U186" s="29"/>
      <c r="V186" s="29"/>
    </row>
    <row r="187" spans="1:22">
      <c r="A187" s="29"/>
      <c r="B187" s="29"/>
      <c r="C187" s="807"/>
      <c r="D187" s="805"/>
      <c r="E187" s="806"/>
      <c r="F187" s="29"/>
      <c r="G187" s="29"/>
      <c r="H187" s="29"/>
      <c r="I187" s="29"/>
      <c r="J187" s="29"/>
      <c r="K187" s="29"/>
      <c r="L187" s="29"/>
      <c r="M187" s="29"/>
      <c r="N187" s="29"/>
      <c r="O187" s="29"/>
      <c r="P187" s="29"/>
      <c r="Q187" s="29"/>
      <c r="R187" s="29"/>
      <c r="S187" s="29"/>
      <c r="T187" s="29"/>
      <c r="U187" s="29"/>
      <c r="V187" s="29"/>
    </row>
    <row r="188" spans="1:22" ht="15" thickBot="1">
      <c r="A188" s="29"/>
      <c r="B188" s="29"/>
      <c r="C188" s="29"/>
      <c r="D188" s="29"/>
      <c r="E188" s="29"/>
      <c r="F188" s="29"/>
      <c r="G188" s="29"/>
      <c r="H188" s="29"/>
      <c r="I188" s="29"/>
      <c r="J188" s="29"/>
      <c r="K188" s="29"/>
      <c r="L188" s="29"/>
      <c r="M188" s="29"/>
      <c r="N188" s="29"/>
      <c r="O188" s="29"/>
      <c r="P188" s="29"/>
      <c r="Q188" s="29"/>
      <c r="R188" s="29"/>
      <c r="S188" s="29"/>
      <c r="T188" s="29"/>
      <c r="U188" s="29"/>
      <c r="V188" s="29"/>
    </row>
    <row r="189" spans="1:22" ht="20" thickBot="1">
      <c r="A189" s="29"/>
      <c r="B189" s="29"/>
      <c r="C189" s="831" t="s">
        <v>407</v>
      </c>
      <c r="D189" s="832"/>
      <c r="E189" s="832"/>
      <c r="F189" s="832"/>
      <c r="G189" s="832"/>
      <c r="H189" s="833"/>
      <c r="I189" s="29"/>
      <c r="J189" s="29"/>
      <c r="K189" s="29"/>
      <c r="L189" s="29"/>
      <c r="M189" s="29"/>
      <c r="N189" s="29"/>
      <c r="O189" s="29"/>
      <c r="P189" s="29"/>
      <c r="Q189" s="29"/>
      <c r="R189" s="29"/>
      <c r="S189" s="29"/>
      <c r="T189" s="29"/>
      <c r="U189" s="29"/>
      <c r="V189" s="29"/>
    </row>
    <row r="190" spans="1:22" ht="15" thickBot="1">
      <c r="A190" s="29"/>
      <c r="B190" s="29"/>
      <c r="C190" s="917" t="s">
        <v>410</v>
      </c>
      <c r="D190" s="918" t="s">
        <v>411</v>
      </c>
      <c r="E190" s="918" t="s">
        <v>412</v>
      </c>
      <c r="F190" s="919" t="s">
        <v>20</v>
      </c>
      <c r="G190" s="919" t="s">
        <v>19</v>
      </c>
      <c r="H190" s="920" t="s">
        <v>413</v>
      </c>
      <c r="I190" s="29"/>
      <c r="J190" s="29"/>
      <c r="K190" s="29"/>
      <c r="L190" s="29"/>
      <c r="M190" s="29"/>
      <c r="N190" s="29"/>
      <c r="O190" s="29"/>
      <c r="P190" s="29"/>
      <c r="Q190" s="29"/>
      <c r="R190" s="29"/>
      <c r="S190" s="29"/>
      <c r="T190" s="29"/>
      <c r="U190" s="29"/>
      <c r="V190" s="29"/>
    </row>
    <row r="191" spans="1:22">
      <c r="A191" s="29"/>
      <c r="B191" s="29"/>
      <c r="C191" s="1336" t="s">
        <v>484</v>
      </c>
      <c r="D191" s="835" t="s">
        <v>485</v>
      </c>
      <c r="E191" s="485" t="s">
        <v>455</v>
      </c>
      <c r="F191" s="265"/>
      <c r="G191" s="923"/>
      <c r="H191" s="921">
        <f>Ettev_kalk!DT3/1000</f>
        <v>0</v>
      </c>
      <c r="I191" s="29"/>
      <c r="J191" s="29"/>
      <c r="K191" s="29"/>
      <c r="L191" s="29"/>
      <c r="M191" s="29"/>
      <c r="N191" s="29"/>
      <c r="O191" s="29"/>
      <c r="P191" s="29"/>
      <c r="Q191" s="29"/>
      <c r="R191" s="29"/>
      <c r="S191" s="29"/>
      <c r="T191" s="29"/>
      <c r="U191" s="29"/>
      <c r="V191" s="29"/>
    </row>
    <row r="192" spans="1:22" ht="15" thickBot="1">
      <c r="A192" s="29"/>
      <c r="B192" s="29"/>
      <c r="C192" s="1337"/>
      <c r="D192" s="835" t="s">
        <v>486</v>
      </c>
      <c r="E192" s="915" t="s">
        <v>487</v>
      </c>
      <c r="F192" s="922"/>
      <c r="G192" s="775"/>
      <c r="H192" s="916">
        <f>Ettev_kalk!DN6/1000</f>
        <v>0</v>
      </c>
      <c r="I192" s="29"/>
      <c r="J192" s="29"/>
      <c r="K192" s="29"/>
      <c r="L192" s="29"/>
      <c r="M192" s="29"/>
      <c r="N192" s="29"/>
      <c r="O192" s="29"/>
      <c r="P192" s="29"/>
      <c r="Q192" s="29"/>
      <c r="R192" s="29"/>
      <c r="S192" s="29"/>
      <c r="T192" s="29"/>
      <c r="U192" s="29"/>
      <c r="V192" s="29"/>
    </row>
    <row r="193" spans="1:22" ht="27.65" customHeight="1">
      <c r="A193" s="29"/>
      <c r="B193" s="29"/>
      <c r="C193" s="1330" t="s">
        <v>426</v>
      </c>
      <c r="D193" s="1332" t="s">
        <v>488</v>
      </c>
      <c r="E193" s="523" t="s">
        <v>489</v>
      </c>
      <c r="F193" s="494">
        <f>SUM(Ettev_kalk!DK16:DK19)</f>
        <v>0</v>
      </c>
      <c r="G193" s="494" t="s">
        <v>165</v>
      </c>
      <c r="H193" s="495">
        <f>Ettev_kalk!DN16/1000</f>
        <v>0</v>
      </c>
      <c r="I193" s="29"/>
      <c r="J193" s="29"/>
      <c r="K193" s="29"/>
      <c r="L193" s="29"/>
      <c r="M193" s="29"/>
      <c r="N193" s="29"/>
      <c r="O193" s="29"/>
      <c r="P193" s="29"/>
      <c r="Q193" s="29"/>
      <c r="R193" s="29"/>
      <c r="S193" s="29"/>
      <c r="T193" s="29"/>
      <c r="U193" s="29"/>
      <c r="V193" s="29"/>
    </row>
    <row r="194" spans="1:22" ht="15" thickBot="1">
      <c r="A194" s="29"/>
      <c r="B194" s="29"/>
      <c r="C194" s="1331"/>
      <c r="D194" s="1333"/>
      <c r="E194" s="524" t="s">
        <v>455</v>
      </c>
      <c r="F194" s="496"/>
      <c r="G194" s="496"/>
      <c r="H194" s="497">
        <f>Ettev_kalk!DN22/1000</f>
        <v>0</v>
      </c>
      <c r="I194" s="29"/>
      <c r="J194" s="29"/>
      <c r="K194" s="29"/>
      <c r="L194" s="29"/>
      <c r="M194" s="29"/>
      <c r="N194" s="29"/>
      <c r="O194" s="29"/>
      <c r="P194" s="29"/>
      <c r="Q194" s="29"/>
      <c r="R194" s="29"/>
      <c r="S194" s="29"/>
      <c r="T194" s="29"/>
      <c r="U194" s="29"/>
      <c r="V194" s="29"/>
    </row>
    <row r="195" spans="1:22" ht="23.15" customHeight="1">
      <c r="A195" s="29"/>
      <c r="B195" s="29"/>
      <c r="C195" s="1318" t="s">
        <v>429</v>
      </c>
      <c r="D195" s="1338" t="s">
        <v>490</v>
      </c>
      <c r="E195" s="487" t="s">
        <v>386</v>
      </c>
      <c r="F195" s="777"/>
      <c r="G195" s="777"/>
      <c r="H195" s="478">
        <f>Ettev_kalk!DN30/1000</f>
        <v>0</v>
      </c>
      <c r="I195" s="29"/>
      <c r="J195" s="29"/>
      <c r="K195" s="29"/>
      <c r="L195" s="29"/>
      <c r="M195" s="29"/>
      <c r="N195" s="29"/>
      <c r="O195" s="29"/>
      <c r="P195" s="29"/>
      <c r="Q195" s="29"/>
      <c r="R195" s="29"/>
      <c r="S195" s="29"/>
      <c r="T195" s="29"/>
      <c r="U195" s="29"/>
      <c r="V195" s="29"/>
    </row>
    <row r="196" spans="1:22">
      <c r="A196" s="29"/>
      <c r="B196" s="29"/>
      <c r="C196" s="1319"/>
      <c r="D196" s="1339"/>
      <c r="E196" s="487" t="s">
        <v>393</v>
      </c>
      <c r="F196" s="777"/>
      <c r="G196" s="777"/>
      <c r="H196" s="478">
        <f>Ettev_kalk!DN57/1000</f>
        <v>0</v>
      </c>
      <c r="I196" s="29"/>
      <c r="J196" s="29"/>
      <c r="K196" s="29"/>
      <c r="L196" s="29"/>
      <c r="M196" s="29"/>
      <c r="N196" s="29"/>
      <c r="O196" s="29"/>
      <c r="P196" s="29"/>
      <c r="Q196" s="29"/>
      <c r="R196" s="29"/>
      <c r="S196" s="29"/>
      <c r="T196" s="29"/>
      <c r="U196" s="29"/>
      <c r="V196" s="29"/>
    </row>
    <row r="197" spans="1:22">
      <c r="A197" s="29"/>
      <c r="B197" s="29"/>
      <c r="C197" s="1319"/>
      <c r="D197" s="836" t="s">
        <v>491</v>
      </c>
      <c r="E197" s="482" t="s">
        <v>492</v>
      </c>
      <c r="F197" s="776"/>
      <c r="G197" s="776"/>
      <c r="H197" s="498">
        <f>Ettev_kalk!DU71/1000</f>
        <v>0</v>
      </c>
      <c r="I197" s="29"/>
      <c r="J197" s="29"/>
      <c r="K197" s="29"/>
      <c r="L197" s="29"/>
      <c r="M197" s="29"/>
      <c r="N197" s="29"/>
      <c r="O197" s="29"/>
      <c r="P197" s="29"/>
      <c r="Q197" s="29"/>
      <c r="R197" s="29"/>
      <c r="S197" s="29"/>
      <c r="T197" s="29"/>
      <c r="U197" s="29"/>
      <c r="V197" s="29"/>
    </row>
    <row r="198" spans="1:22">
      <c r="A198" s="29"/>
      <c r="B198" s="29"/>
      <c r="C198" s="1319"/>
      <c r="D198" s="502" t="s">
        <v>452</v>
      </c>
      <c r="E198" s="487" t="s">
        <v>453</v>
      </c>
      <c r="F198" s="777"/>
      <c r="G198" s="777"/>
      <c r="H198" s="478">
        <f>Ettev_kalk!DU28/1000</f>
        <v>0</v>
      </c>
      <c r="I198" s="29"/>
      <c r="J198" s="29"/>
      <c r="K198" s="29"/>
      <c r="L198" s="29"/>
      <c r="M198" s="29"/>
      <c r="N198" s="29"/>
      <c r="O198" s="29"/>
      <c r="P198" s="29"/>
      <c r="Q198" s="29"/>
      <c r="R198" s="29"/>
      <c r="S198" s="29"/>
      <c r="T198" s="29"/>
      <c r="U198" s="29"/>
      <c r="V198" s="29"/>
    </row>
    <row r="199" spans="1:22" ht="26.5" thickBot="1">
      <c r="A199" s="29"/>
      <c r="B199" s="29"/>
      <c r="C199" s="1320"/>
      <c r="D199" s="830" t="s">
        <v>493</v>
      </c>
      <c r="E199" s="483" t="s">
        <v>494</v>
      </c>
      <c r="F199" s="480">
        <f>SUM(Ettev_kalk!DK22:DK27)</f>
        <v>0</v>
      </c>
      <c r="G199" s="480" t="s">
        <v>165</v>
      </c>
      <c r="H199" s="499">
        <f>Ettev_kalk!DS20/1000</f>
        <v>0</v>
      </c>
      <c r="I199" s="29"/>
      <c r="J199" s="29"/>
      <c r="K199" s="29"/>
      <c r="L199" s="29"/>
      <c r="M199" s="29"/>
      <c r="N199" s="29"/>
      <c r="O199" s="29"/>
      <c r="P199" s="29"/>
      <c r="Q199" s="29"/>
      <c r="R199" s="29"/>
      <c r="S199" s="29"/>
      <c r="T199" s="29"/>
      <c r="U199" s="29"/>
      <c r="V199" s="29"/>
    </row>
    <row r="200" spans="1:22" ht="14.5" customHeight="1">
      <c r="A200" s="29"/>
      <c r="B200" s="29"/>
      <c r="C200" s="808"/>
      <c r="D200" s="806"/>
      <c r="E200" s="806"/>
      <c r="F200" s="806"/>
      <c r="G200" s="806"/>
      <c r="H200" s="806"/>
      <c r="I200" s="29"/>
      <c r="J200" s="29"/>
      <c r="K200" s="29"/>
      <c r="L200" s="29"/>
      <c r="M200" s="29"/>
      <c r="N200" s="29"/>
      <c r="O200" s="29"/>
      <c r="P200" s="29"/>
      <c r="Q200" s="29"/>
      <c r="R200" s="29"/>
      <c r="S200" s="29"/>
      <c r="T200" s="29"/>
      <c r="U200" s="29"/>
      <c r="V200" s="29"/>
    </row>
    <row r="201" spans="1:22">
      <c r="A201" s="29"/>
      <c r="B201" s="29"/>
      <c r="C201" s="808"/>
      <c r="D201" s="806"/>
      <c r="E201" s="806"/>
      <c r="F201" s="806"/>
      <c r="G201" s="806"/>
      <c r="H201" s="806"/>
      <c r="I201" s="29"/>
      <c r="J201" s="29"/>
      <c r="K201" s="29"/>
      <c r="L201" s="29"/>
      <c r="M201" s="29"/>
      <c r="N201" s="29"/>
      <c r="O201" s="29"/>
      <c r="P201" s="29"/>
      <c r="Q201" s="29"/>
      <c r="R201" s="29"/>
      <c r="S201" s="29"/>
      <c r="T201" s="29"/>
      <c r="U201" s="29"/>
      <c r="V201" s="29"/>
    </row>
    <row r="202" spans="1:22">
      <c r="A202" s="29"/>
      <c r="B202" s="29"/>
      <c r="C202" s="29"/>
      <c r="D202" s="29"/>
      <c r="E202" s="29"/>
      <c r="F202" s="29"/>
      <c r="G202" s="29"/>
      <c r="H202" s="29"/>
      <c r="I202" s="29"/>
      <c r="J202" s="29"/>
      <c r="K202" s="29"/>
      <c r="L202" s="29"/>
      <c r="M202" s="29"/>
      <c r="N202" s="29"/>
      <c r="O202" s="29"/>
      <c r="P202" s="29"/>
      <c r="Q202" s="29"/>
      <c r="R202" s="29"/>
      <c r="S202" s="29"/>
      <c r="T202" s="29"/>
      <c r="U202" s="29"/>
      <c r="V202" s="29"/>
    </row>
    <row r="203" spans="1:22">
      <c r="A203" s="29"/>
      <c r="B203" s="29"/>
      <c r="C203" s="29"/>
      <c r="D203" s="29"/>
      <c r="E203" s="29"/>
      <c r="F203" s="29"/>
      <c r="G203" s="29"/>
      <c r="H203" s="29"/>
      <c r="I203" s="29"/>
      <c r="J203" s="29"/>
      <c r="K203" s="29"/>
      <c r="L203" s="29"/>
      <c r="M203" s="29"/>
      <c r="N203" s="29"/>
      <c r="O203" s="29"/>
      <c r="P203" s="29"/>
      <c r="Q203" s="29"/>
      <c r="R203" s="29"/>
      <c r="S203" s="29"/>
      <c r="T203" s="29"/>
      <c r="U203" s="29"/>
      <c r="V203" s="29"/>
    </row>
    <row r="204" spans="1:22">
      <c r="A204" s="29"/>
      <c r="B204" s="29"/>
      <c r="C204" s="29"/>
      <c r="D204" s="29"/>
      <c r="E204" s="29"/>
      <c r="F204" s="29"/>
      <c r="G204" s="29"/>
      <c r="H204" s="29"/>
      <c r="I204" s="29"/>
      <c r="J204" s="29"/>
      <c r="K204" s="29"/>
      <c r="L204" s="29"/>
      <c r="M204" s="29"/>
      <c r="N204" s="29"/>
      <c r="O204" s="29"/>
      <c r="P204" s="29"/>
      <c r="Q204" s="29"/>
      <c r="R204" s="29"/>
      <c r="S204" s="29"/>
      <c r="T204" s="29"/>
      <c r="U204" s="29"/>
      <c r="V204" s="29"/>
    </row>
    <row r="205" spans="1:22" ht="1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row>
    <row r="206" spans="1:22" ht="25.5" customHeight="1">
      <c r="A206" s="29"/>
      <c r="B206" s="29"/>
      <c r="C206" s="29"/>
      <c r="D206" s="924"/>
      <c r="E206" s="29"/>
      <c r="F206" s="29"/>
      <c r="G206" s="29"/>
      <c r="H206" s="29"/>
      <c r="I206" s="29"/>
      <c r="J206" s="29"/>
      <c r="K206" s="29"/>
      <c r="L206" s="29"/>
      <c r="M206" s="29"/>
      <c r="N206" s="29"/>
      <c r="O206" s="29"/>
      <c r="P206" s="29"/>
      <c r="Q206" s="29"/>
      <c r="R206" s="29"/>
      <c r="S206" s="29"/>
      <c r="T206" s="29"/>
      <c r="U206" s="29"/>
      <c r="V206" s="29"/>
    </row>
    <row r="207" spans="1:22">
      <c r="A207" s="29"/>
      <c r="B207" s="29"/>
      <c r="C207" s="29"/>
      <c r="D207" s="29"/>
      <c r="E207" s="29"/>
      <c r="F207" s="29"/>
      <c r="G207" s="29"/>
      <c r="H207" s="29"/>
      <c r="I207" s="29"/>
      <c r="J207" s="29"/>
      <c r="K207" s="29"/>
      <c r="L207" s="29"/>
      <c r="M207" s="29"/>
      <c r="N207" s="29"/>
      <c r="O207" s="29"/>
      <c r="P207" s="29"/>
      <c r="Q207" s="29"/>
      <c r="R207" s="29"/>
      <c r="S207" s="29"/>
      <c r="T207" s="29"/>
      <c r="U207" s="29"/>
      <c r="V207" s="29"/>
    </row>
    <row r="208" spans="1:22">
      <c r="A208" s="29"/>
      <c r="B208" s="29"/>
      <c r="C208" s="29"/>
      <c r="D208" s="29"/>
      <c r="E208" s="29"/>
      <c r="F208" s="29"/>
      <c r="G208" s="29"/>
      <c r="H208" s="29"/>
      <c r="I208" s="29"/>
      <c r="J208" s="29"/>
      <c r="K208" s="29"/>
      <c r="L208" s="29"/>
      <c r="M208" s="29"/>
      <c r="N208" s="29"/>
      <c r="O208" s="29"/>
      <c r="P208" s="29"/>
      <c r="Q208" s="29"/>
      <c r="R208" s="29"/>
      <c r="S208" s="29"/>
      <c r="T208" s="29"/>
      <c r="U208" s="29"/>
      <c r="V208" s="29"/>
    </row>
    <row r="209" spans="1:22">
      <c r="A209" s="29"/>
      <c r="B209" s="29"/>
      <c r="C209" s="29"/>
      <c r="D209" s="29"/>
      <c r="E209" s="29"/>
      <c r="F209" s="29"/>
      <c r="G209" s="29"/>
      <c r="H209" s="29"/>
      <c r="I209" s="29"/>
      <c r="J209" s="29"/>
      <c r="K209" s="29"/>
      <c r="L209" s="29"/>
      <c r="M209" s="29"/>
      <c r="N209" s="29"/>
      <c r="O209" s="29"/>
      <c r="P209" s="29"/>
      <c r="Q209" s="29"/>
      <c r="R209" s="29"/>
      <c r="S209" s="29"/>
      <c r="T209" s="29"/>
      <c r="U209" s="29"/>
      <c r="V209" s="29"/>
    </row>
    <row r="210" spans="1:22">
      <c r="A210" s="29"/>
      <c r="B210" s="29"/>
      <c r="C210" s="29"/>
      <c r="D210" s="29"/>
      <c r="E210" s="29"/>
      <c r="F210" s="29"/>
      <c r="G210" s="29"/>
      <c r="H210" s="29"/>
      <c r="I210" s="29"/>
      <c r="J210" s="29"/>
      <c r="K210" s="29"/>
      <c r="L210" s="29"/>
      <c r="M210" s="29"/>
      <c r="N210" s="29"/>
      <c r="O210" s="29"/>
      <c r="P210" s="29"/>
      <c r="Q210" s="29"/>
      <c r="R210" s="29"/>
      <c r="S210" s="29"/>
      <c r="T210" s="29"/>
      <c r="U210" s="29"/>
      <c r="V210" s="29"/>
    </row>
    <row r="211" spans="1:22">
      <c r="A211" s="29"/>
      <c r="B211" s="29"/>
      <c r="C211" s="29"/>
      <c r="D211" s="29"/>
      <c r="E211" s="29"/>
      <c r="F211" s="29"/>
      <c r="G211" s="29"/>
      <c r="H211" s="29"/>
      <c r="I211" s="29"/>
      <c r="J211" s="29"/>
      <c r="K211" s="29"/>
      <c r="L211" s="29"/>
      <c r="M211" s="29"/>
      <c r="N211" s="29"/>
      <c r="O211" s="29"/>
      <c r="P211" s="29"/>
      <c r="Q211" s="29"/>
      <c r="R211" s="29"/>
      <c r="S211" s="29"/>
      <c r="T211" s="29"/>
      <c r="U211" s="29"/>
      <c r="V211" s="29"/>
    </row>
    <row r="212" spans="1:22">
      <c r="A212" s="29"/>
      <c r="B212" s="29"/>
      <c r="C212" s="29"/>
      <c r="D212" s="29"/>
      <c r="E212" s="29"/>
      <c r="F212" s="29"/>
      <c r="G212" s="29"/>
      <c r="H212" s="29"/>
      <c r="I212" s="29"/>
      <c r="J212" s="29"/>
      <c r="K212" s="29"/>
      <c r="L212" s="29"/>
      <c r="M212" s="29"/>
      <c r="N212" s="29"/>
      <c r="O212" s="29"/>
      <c r="P212" s="29"/>
      <c r="Q212" s="29"/>
      <c r="R212" s="29"/>
      <c r="S212" s="29"/>
      <c r="T212" s="29"/>
      <c r="U212" s="29"/>
      <c r="V212" s="29"/>
    </row>
    <row r="213" spans="1:22">
      <c r="A213" s="29"/>
      <c r="B213" s="29"/>
      <c r="C213" s="29"/>
      <c r="D213" s="29"/>
      <c r="E213" s="29"/>
      <c r="F213" s="29"/>
      <c r="G213" s="29"/>
      <c r="H213" s="29"/>
      <c r="I213" s="29"/>
      <c r="J213" s="29"/>
      <c r="K213" s="29"/>
      <c r="L213" s="29"/>
      <c r="M213" s="29"/>
      <c r="N213" s="29"/>
      <c r="O213" s="29"/>
      <c r="P213" s="29"/>
      <c r="Q213" s="29"/>
      <c r="R213" s="29"/>
      <c r="S213" s="29"/>
      <c r="T213" s="29"/>
      <c r="U213" s="29"/>
      <c r="V213" s="29"/>
    </row>
    <row r="214" spans="1:22">
      <c r="A214" s="29"/>
      <c r="B214" s="29"/>
      <c r="C214" s="29"/>
      <c r="D214" s="29"/>
      <c r="E214" s="29"/>
      <c r="F214" s="29"/>
      <c r="G214" s="29"/>
      <c r="H214" s="29"/>
      <c r="I214" s="29"/>
      <c r="J214" s="29"/>
      <c r="K214" s="29"/>
      <c r="L214" s="29"/>
      <c r="M214" s="29"/>
      <c r="N214" s="29"/>
      <c r="O214" s="29"/>
      <c r="P214" s="29"/>
      <c r="Q214" s="29"/>
      <c r="R214" s="29"/>
      <c r="S214" s="29"/>
      <c r="T214" s="29"/>
      <c r="U214" s="29"/>
      <c r="V214" s="29"/>
    </row>
    <row r="215" spans="1:22">
      <c r="A215" s="29"/>
      <c r="B215" s="29"/>
      <c r="C215" s="29"/>
      <c r="D215" s="29"/>
      <c r="E215" s="29"/>
      <c r="F215" s="29"/>
      <c r="G215" s="29"/>
      <c r="H215" s="29"/>
      <c r="I215" s="29"/>
      <c r="J215" s="29"/>
      <c r="K215" s="29"/>
      <c r="L215" s="29"/>
      <c r="M215" s="29"/>
      <c r="N215" s="29"/>
      <c r="O215" s="29"/>
      <c r="P215" s="29"/>
      <c r="Q215" s="29"/>
      <c r="R215" s="29"/>
      <c r="S215" s="29"/>
      <c r="T215" s="29"/>
      <c r="U215" s="29"/>
      <c r="V215" s="29"/>
    </row>
    <row r="216" spans="1:22">
      <c r="A216" s="29"/>
      <c r="B216" s="29"/>
      <c r="C216" s="29"/>
      <c r="D216" s="29"/>
      <c r="E216" s="29"/>
      <c r="F216" s="29"/>
      <c r="G216" s="29"/>
      <c r="H216" s="29"/>
      <c r="I216" s="29"/>
      <c r="J216" s="29"/>
      <c r="K216" s="29"/>
      <c r="L216" s="29"/>
      <c r="M216" s="29"/>
      <c r="N216" s="29"/>
      <c r="O216" s="29"/>
      <c r="P216" s="29"/>
      <c r="Q216" s="29"/>
      <c r="R216" s="29"/>
      <c r="S216" s="29"/>
      <c r="T216" s="29"/>
      <c r="U216" s="29"/>
      <c r="V216" s="29"/>
    </row>
    <row r="217" spans="1:22">
      <c r="A217" s="29"/>
      <c r="B217" s="29"/>
      <c r="C217" s="29"/>
      <c r="D217" s="29"/>
      <c r="E217" s="29"/>
      <c r="F217" s="29"/>
      <c r="G217" s="29"/>
      <c r="H217" s="29"/>
      <c r="I217" s="29"/>
      <c r="J217" s="29"/>
      <c r="K217" s="29"/>
      <c r="L217" s="29"/>
      <c r="M217" s="29"/>
      <c r="N217" s="29"/>
      <c r="O217" s="29"/>
      <c r="P217" s="29"/>
      <c r="Q217" s="29"/>
      <c r="R217" s="29"/>
      <c r="S217" s="29"/>
      <c r="T217" s="29"/>
      <c r="U217" s="29"/>
      <c r="V217" s="29"/>
    </row>
    <row r="218" spans="1:22">
      <c r="A218" s="29"/>
      <c r="B218" s="29"/>
      <c r="C218" s="29"/>
      <c r="D218" s="29"/>
      <c r="E218" s="29"/>
      <c r="F218" s="29"/>
      <c r="G218" s="29"/>
      <c r="H218" s="29"/>
      <c r="I218" s="29"/>
      <c r="J218" s="29"/>
      <c r="K218" s="29"/>
      <c r="L218" s="29"/>
      <c r="M218" s="29"/>
      <c r="N218" s="29"/>
      <c r="O218" s="29"/>
      <c r="P218" s="29"/>
      <c r="Q218" s="29"/>
      <c r="R218" s="29"/>
      <c r="S218" s="29"/>
      <c r="T218" s="29"/>
      <c r="U218" s="29"/>
      <c r="V218" s="29"/>
    </row>
    <row r="219" spans="1:22">
      <c r="A219" s="29"/>
      <c r="B219" s="29"/>
      <c r="C219" s="29"/>
      <c r="D219" s="29"/>
      <c r="E219" s="29"/>
      <c r="F219" s="29"/>
      <c r="G219" s="29"/>
      <c r="H219" s="29"/>
      <c r="I219" s="29"/>
      <c r="J219" s="29"/>
      <c r="K219" s="29"/>
      <c r="L219" s="29"/>
      <c r="M219" s="29"/>
      <c r="N219" s="29"/>
      <c r="O219" s="29"/>
      <c r="P219" s="29"/>
      <c r="Q219" s="29"/>
      <c r="R219" s="29"/>
      <c r="S219" s="29"/>
      <c r="T219" s="29"/>
      <c r="U219" s="29"/>
      <c r="V219" s="29"/>
    </row>
    <row r="220" spans="1:22">
      <c r="A220" s="29"/>
      <c r="B220" s="29"/>
      <c r="C220" s="29"/>
      <c r="D220" s="29"/>
      <c r="E220" s="29"/>
      <c r="F220" s="29"/>
      <c r="G220" s="29"/>
      <c r="H220" s="29"/>
      <c r="I220" s="29"/>
      <c r="J220" s="29"/>
      <c r="K220" s="29"/>
      <c r="L220" s="29"/>
      <c r="M220" s="29"/>
      <c r="N220" s="29"/>
      <c r="O220" s="29"/>
      <c r="P220" s="29"/>
      <c r="Q220" s="29"/>
      <c r="R220" s="29"/>
      <c r="S220" s="29"/>
      <c r="T220" s="29"/>
      <c r="U220" s="29"/>
      <c r="V220" s="29"/>
    </row>
    <row r="221" spans="1:22">
      <c r="A221" s="29"/>
      <c r="B221" s="29"/>
      <c r="C221" s="29"/>
      <c r="D221" s="29"/>
      <c r="E221" s="29"/>
      <c r="F221" s="29"/>
      <c r="G221" s="29"/>
      <c r="H221" s="29"/>
      <c r="I221" s="29"/>
      <c r="J221" s="29"/>
      <c r="K221" s="29"/>
      <c r="L221" s="29"/>
      <c r="M221" s="29"/>
      <c r="N221" s="29"/>
      <c r="O221" s="29"/>
      <c r="P221" s="29"/>
      <c r="Q221" s="29"/>
      <c r="R221" s="29"/>
      <c r="S221" s="29"/>
      <c r="T221" s="29"/>
      <c r="U221" s="29"/>
      <c r="V221" s="29"/>
    </row>
    <row r="222" spans="1:22">
      <c r="A222" s="29"/>
      <c r="B222" s="29"/>
      <c r="C222" s="29"/>
      <c r="D222" s="29"/>
      <c r="E222" s="29"/>
      <c r="F222" s="29"/>
      <c r="G222" s="29"/>
      <c r="H222" s="29"/>
      <c r="I222" s="29"/>
      <c r="J222" s="29"/>
      <c r="K222" s="29"/>
      <c r="L222" s="29"/>
      <c r="M222" s="29"/>
      <c r="N222" s="29"/>
      <c r="O222" s="29"/>
      <c r="P222" s="29"/>
      <c r="Q222" s="29"/>
      <c r="R222" s="29"/>
      <c r="S222" s="29"/>
      <c r="T222" s="29"/>
      <c r="U222" s="29"/>
      <c r="V222" s="29"/>
    </row>
    <row r="223" spans="1:22">
      <c r="A223" s="29"/>
      <c r="B223" s="29"/>
      <c r="C223" s="29"/>
      <c r="D223" s="29"/>
      <c r="E223" s="29"/>
      <c r="F223" s="29"/>
      <c r="G223" s="29"/>
      <c r="H223" s="29"/>
      <c r="I223" s="29"/>
      <c r="J223" s="29"/>
      <c r="K223" s="29"/>
      <c r="L223" s="29"/>
      <c r="M223" s="29"/>
      <c r="N223" s="29"/>
      <c r="O223" s="29"/>
      <c r="P223" s="29"/>
      <c r="Q223" s="29"/>
      <c r="R223" s="29"/>
      <c r="S223" s="29"/>
      <c r="T223" s="29"/>
      <c r="U223" s="29"/>
      <c r="V223" s="29"/>
    </row>
    <row r="224" spans="1:22">
      <c r="A224" s="29"/>
      <c r="B224" s="29"/>
      <c r="C224" s="29"/>
      <c r="D224" s="29"/>
      <c r="E224" s="29"/>
      <c r="F224" s="29"/>
      <c r="G224" s="29"/>
      <c r="H224" s="29"/>
      <c r="I224" s="29"/>
      <c r="J224" s="29"/>
      <c r="K224" s="29"/>
      <c r="L224" s="29"/>
      <c r="M224" s="29"/>
      <c r="N224" s="29"/>
      <c r="O224" s="29"/>
      <c r="P224" s="29"/>
      <c r="Q224" s="29"/>
      <c r="R224" s="29"/>
      <c r="S224" s="29"/>
      <c r="T224" s="29"/>
      <c r="U224" s="29"/>
      <c r="V224" s="29"/>
    </row>
    <row r="225" spans="1:22">
      <c r="A225" s="29"/>
      <c r="B225" s="29"/>
      <c r="C225" s="29"/>
      <c r="D225" s="29"/>
      <c r="E225" s="29"/>
      <c r="F225" s="29"/>
      <c r="G225" s="29"/>
      <c r="H225" s="29"/>
      <c r="I225" s="29"/>
      <c r="J225" s="29"/>
      <c r="K225" s="29"/>
      <c r="L225" s="29"/>
      <c r="M225" s="29"/>
      <c r="N225" s="29"/>
      <c r="O225" s="29"/>
      <c r="P225" s="29"/>
      <c r="Q225" s="29"/>
      <c r="R225" s="29"/>
      <c r="S225" s="29"/>
      <c r="T225" s="29"/>
      <c r="U225" s="29"/>
      <c r="V225" s="29"/>
    </row>
    <row r="226" spans="1:22">
      <c r="A226" s="29"/>
      <c r="B226" s="29"/>
      <c r="C226" s="29"/>
      <c r="D226" s="29"/>
      <c r="E226" s="29"/>
      <c r="F226" s="29"/>
      <c r="G226" s="29"/>
      <c r="H226" s="29"/>
      <c r="I226" s="29"/>
      <c r="J226" s="29"/>
      <c r="K226" s="29"/>
      <c r="L226" s="29"/>
      <c r="M226" s="29"/>
      <c r="N226" s="29"/>
      <c r="O226" s="29"/>
      <c r="P226" s="29"/>
      <c r="Q226" s="29"/>
      <c r="R226" s="29"/>
      <c r="S226" s="29"/>
      <c r="T226" s="29"/>
      <c r="U226" s="29"/>
      <c r="V226" s="29"/>
    </row>
    <row r="227" spans="1:22">
      <c r="A227" s="29"/>
      <c r="B227" s="29"/>
      <c r="C227" s="29"/>
      <c r="D227" s="29"/>
      <c r="E227" s="29"/>
      <c r="F227" s="29"/>
      <c r="G227" s="29"/>
      <c r="H227" s="29"/>
      <c r="I227" s="29"/>
      <c r="J227" s="29"/>
      <c r="K227" s="29"/>
      <c r="L227" s="29"/>
      <c r="M227" s="29"/>
      <c r="N227" s="29"/>
      <c r="O227" s="29"/>
      <c r="P227" s="29"/>
      <c r="Q227" s="29"/>
      <c r="R227" s="29"/>
      <c r="S227" s="29"/>
      <c r="T227" s="29"/>
      <c r="U227" s="29"/>
      <c r="V227" s="29"/>
    </row>
    <row r="228" spans="1:22">
      <c r="A228" s="29"/>
      <c r="B228" s="29"/>
      <c r="C228" s="29"/>
      <c r="D228" s="29"/>
      <c r="E228" s="29"/>
      <c r="F228" s="29"/>
      <c r="G228" s="29"/>
      <c r="H228" s="29"/>
      <c r="I228" s="29"/>
      <c r="J228" s="29"/>
      <c r="K228" s="29"/>
      <c r="L228" s="29"/>
      <c r="M228" s="29"/>
      <c r="N228" s="29"/>
      <c r="O228" s="29"/>
      <c r="P228" s="29"/>
      <c r="Q228" s="29"/>
      <c r="R228" s="29"/>
      <c r="S228" s="29"/>
      <c r="T228" s="29"/>
      <c r="U228" s="29"/>
      <c r="V228" s="29"/>
    </row>
    <row r="229" spans="1:22">
      <c r="A229" s="29"/>
      <c r="B229" s="29"/>
      <c r="C229" s="29"/>
      <c r="D229" s="29"/>
      <c r="E229" s="29"/>
      <c r="F229" s="29"/>
      <c r="G229" s="29"/>
      <c r="H229" s="29"/>
      <c r="I229" s="29"/>
      <c r="J229" s="29"/>
      <c r="K229" s="29"/>
      <c r="L229" s="29"/>
      <c r="M229" s="29"/>
      <c r="N229" s="29"/>
      <c r="O229" s="29"/>
      <c r="P229" s="29"/>
      <c r="Q229" s="29"/>
      <c r="R229" s="29"/>
      <c r="S229" s="29"/>
      <c r="T229" s="29"/>
      <c r="U229" s="29"/>
      <c r="V229" s="29"/>
    </row>
    <row r="230" spans="1:22">
      <c r="A230" s="29"/>
      <c r="B230" s="29"/>
      <c r="C230" s="29"/>
      <c r="D230" s="29"/>
      <c r="E230" s="29"/>
      <c r="F230" s="29"/>
      <c r="G230" s="29"/>
      <c r="H230" s="29"/>
      <c r="I230" s="29"/>
      <c r="J230" s="29"/>
      <c r="K230" s="29"/>
      <c r="L230" s="29"/>
      <c r="M230" s="29"/>
      <c r="N230" s="29"/>
      <c r="O230" s="29"/>
      <c r="P230" s="29"/>
      <c r="Q230" s="29"/>
      <c r="R230" s="29"/>
      <c r="S230" s="29"/>
      <c r="T230" s="29"/>
      <c r="U230" s="29"/>
      <c r="V230" s="29"/>
    </row>
    <row r="231" spans="1:22">
      <c r="A231" s="29"/>
      <c r="B231" s="29"/>
      <c r="I231" s="29"/>
      <c r="J231" s="29"/>
      <c r="K231" s="29"/>
      <c r="L231" s="29"/>
      <c r="M231" s="29"/>
      <c r="N231" s="29"/>
      <c r="O231" s="29"/>
      <c r="P231" s="29"/>
      <c r="Q231" s="29"/>
      <c r="R231" s="29"/>
      <c r="S231" s="29"/>
      <c r="T231" s="29"/>
      <c r="U231" s="29"/>
      <c r="V231" s="29"/>
    </row>
    <row r="232" spans="1:22">
      <c r="A232" s="29"/>
      <c r="B232" s="29"/>
      <c r="I232" s="29"/>
      <c r="J232" s="29"/>
      <c r="K232" s="29"/>
      <c r="L232" s="29"/>
      <c r="M232" s="29"/>
      <c r="N232" s="29"/>
      <c r="O232" s="29"/>
      <c r="P232" s="29"/>
      <c r="Q232" s="29"/>
      <c r="R232" s="29"/>
      <c r="S232" s="29"/>
      <c r="T232" s="29"/>
      <c r="U232" s="29"/>
      <c r="V232" s="29"/>
    </row>
    <row r="233" spans="1:22">
      <c r="A233" s="29"/>
      <c r="B233" s="29"/>
      <c r="I233" s="29"/>
      <c r="J233" s="29"/>
      <c r="K233" s="29"/>
      <c r="L233" s="29"/>
      <c r="M233" s="29"/>
      <c r="N233" s="29"/>
      <c r="O233" s="29"/>
      <c r="P233" s="29"/>
      <c r="Q233" s="29"/>
      <c r="R233" s="29"/>
      <c r="S233" s="29"/>
      <c r="T233" s="29"/>
      <c r="U233" s="29"/>
      <c r="V233" s="29"/>
    </row>
    <row r="234" spans="1:22">
      <c r="A234" s="29"/>
      <c r="B234" s="29"/>
      <c r="I234" s="29"/>
      <c r="J234" s="29"/>
      <c r="K234" s="29"/>
      <c r="L234" s="29"/>
      <c r="M234" s="29"/>
      <c r="N234" s="29"/>
      <c r="O234" s="29"/>
      <c r="P234" s="29"/>
      <c r="Q234" s="29"/>
      <c r="R234" s="29"/>
      <c r="S234" s="29"/>
      <c r="T234" s="29"/>
      <c r="U234" s="29"/>
      <c r="V234" s="29"/>
    </row>
    <row r="235" spans="1:22">
      <c r="A235" s="29"/>
      <c r="B235" s="29"/>
      <c r="I235" s="29"/>
      <c r="J235" s="29"/>
      <c r="K235" s="29"/>
      <c r="L235" s="29"/>
      <c r="M235" s="29"/>
      <c r="N235" s="29"/>
      <c r="P235" s="29"/>
      <c r="Q235" s="29"/>
      <c r="R235" s="29"/>
      <c r="S235" s="29"/>
      <c r="T235" s="29"/>
      <c r="U235" s="29"/>
      <c r="V235" s="29"/>
    </row>
    <row r="236" spans="1:22">
      <c r="A236" s="29"/>
      <c r="B236" s="29"/>
      <c r="I236" s="29"/>
      <c r="J236" s="29"/>
      <c r="K236" s="29"/>
      <c r="L236" s="29"/>
      <c r="M236" s="29"/>
      <c r="N236" s="29"/>
      <c r="P236" s="29"/>
      <c r="Q236" s="29"/>
      <c r="R236" s="29"/>
      <c r="S236" s="29"/>
      <c r="T236" s="29"/>
      <c r="U236" s="29"/>
      <c r="V236" s="29"/>
    </row>
    <row r="237" spans="1:22">
      <c r="B237" s="29"/>
      <c r="I237" s="29"/>
      <c r="J237" s="29"/>
      <c r="K237" s="29"/>
      <c r="L237" s="29"/>
      <c r="M237" s="29"/>
      <c r="N237" s="29"/>
    </row>
    <row r="238" spans="1:22">
      <c r="B238" s="29"/>
      <c r="I238" s="29"/>
    </row>
  </sheetData>
  <sheetProtection insertColumns="0" insertRows="0" selectLockedCells="1" selectUnlockedCells="1"/>
  <mergeCells count="24">
    <mergeCell ref="C193:C194"/>
    <mergeCell ref="D193:D194"/>
    <mergeCell ref="C195:C199"/>
    <mergeCell ref="C101:C186"/>
    <mergeCell ref="D101:D130"/>
    <mergeCell ref="D152:D172"/>
    <mergeCell ref="D173:D186"/>
    <mergeCell ref="C191:C192"/>
    <mergeCell ref="D131:D151"/>
    <mergeCell ref="D195:D196"/>
    <mergeCell ref="C87:C100"/>
    <mergeCell ref="D87:D100"/>
    <mergeCell ref="M54:N54"/>
    <mergeCell ref="J7:L7"/>
    <mergeCell ref="C2:L2"/>
    <mergeCell ref="J54:K54"/>
    <mergeCell ref="C7:H7"/>
    <mergeCell ref="C9:C16"/>
    <mergeCell ref="D9:D16"/>
    <mergeCell ref="D29:D30"/>
    <mergeCell ref="C18:C34"/>
    <mergeCell ref="D18:D28"/>
    <mergeCell ref="D31:D33"/>
    <mergeCell ref="C38:C86"/>
  </mergeCells>
  <hyperlinks>
    <hyperlink ref="D4" location="'Ettevõttepõhine jalajälg'!C7" display="Taimekasvatus" xr:uid="{CBC9FFC0-5195-46AB-8C6A-4A86118ED84C}"/>
    <hyperlink ref="E4" location="'Ettevõttepõhine jalajälg'!C35" display="Loomakasvatus" xr:uid="{3570B216-C31F-4830-BF57-C290A51F134D}"/>
    <hyperlink ref="D5" location="'Ettevõttepõhine jalajälg'!C195" display="Tugitegevused" xr:uid="{330B80F9-8A42-4F65-AE94-E4D63ECDC3CF}"/>
    <hyperlink ref="E5" location="'Ettevõttepõhine jalajälg'!J7" display="Süsiniku sidumine" xr:uid="{B0453BBC-A426-414F-A836-B8C94A39049B}"/>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141E-49BE-470F-A860-89AC0BDCA866}">
  <sheetPr codeName="Sheet10">
    <tabColor rgb="FFFFC000"/>
  </sheetPr>
  <dimension ref="B1:AM47"/>
  <sheetViews>
    <sheetView showGridLines="0" zoomScale="53" zoomScaleNormal="85" workbookViewId="0">
      <selection activeCell="K79" sqref="K79"/>
    </sheetView>
  </sheetViews>
  <sheetFormatPr defaultColWidth="8.54296875" defaultRowHeight="14.5"/>
  <cols>
    <col min="2" max="2" width="36.81640625" customWidth="1"/>
    <col min="3" max="3" width="29.453125" customWidth="1"/>
    <col min="5" max="5" width="34.453125" customWidth="1"/>
    <col min="6" max="6" width="18" customWidth="1"/>
    <col min="8" max="8" width="35.54296875" customWidth="1"/>
    <col min="9" max="9" width="17.54296875" customWidth="1"/>
    <col min="11" max="11" width="32.453125" customWidth="1"/>
    <col min="12" max="12" width="18.1796875" customWidth="1"/>
    <col min="14" max="14" width="32.453125" customWidth="1"/>
    <col min="15" max="15" width="17" customWidth="1"/>
    <col min="17" max="17" width="34.453125" customWidth="1"/>
    <col min="18" max="18" width="20.81640625" customWidth="1"/>
    <col min="20" max="20" width="34.453125" customWidth="1"/>
    <col min="21" max="21" width="17.453125" customWidth="1"/>
    <col min="23" max="23" width="30.453125" customWidth="1"/>
    <col min="24" max="24" width="18.453125" customWidth="1"/>
    <col min="26" max="26" width="32.453125" customWidth="1"/>
    <col min="27" max="27" width="15.1796875" customWidth="1"/>
    <col min="29" max="29" width="28.453125" customWidth="1"/>
    <col min="30" max="30" width="16.1796875" customWidth="1"/>
    <col min="32" max="32" width="29" customWidth="1"/>
    <col min="33" max="33" width="16.1796875" customWidth="1"/>
    <col min="35" max="35" width="28.81640625" customWidth="1"/>
    <col min="36" max="36" width="16.453125" customWidth="1"/>
    <col min="38" max="38" width="32.1796875" customWidth="1"/>
    <col min="39" max="39" width="17.1796875" customWidth="1"/>
  </cols>
  <sheetData>
    <row r="1" spans="2:39" ht="24" thickBot="1">
      <c r="B1" s="461" t="s">
        <v>1</v>
      </c>
    </row>
    <row r="2" spans="2:39" ht="19" thickBot="1">
      <c r="B2" s="772" t="s">
        <v>495</v>
      </c>
      <c r="C2" s="773"/>
      <c r="D2" s="773"/>
      <c r="E2" s="773"/>
      <c r="F2" s="773"/>
      <c r="G2" s="773"/>
      <c r="H2" s="773"/>
      <c r="I2" s="773"/>
      <c r="J2" s="773"/>
      <c r="K2" s="773"/>
      <c r="L2" s="773"/>
      <c r="M2" s="773"/>
      <c r="N2" s="774"/>
    </row>
    <row r="3" spans="2:39" ht="15" thickBot="1"/>
    <row r="4" spans="2:39" ht="16" thickBot="1">
      <c r="B4" s="1177" t="str">
        <f>Tootep_kalk!AH34</f>
        <v>Talinisu</v>
      </c>
      <c r="C4" s="1178"/>
      <c r="E4" s="1177" t="s">
        <v>159</v>
      </c>
      <c r="F4" s="1178"/>
      <c r="H4" s="1177" t="str">
        <f>Tootep_kalk!AR34</f>
        <v>Talioder</v>
      </c>
      <c r="I4" s="1178"/>
      <c r="K4" s="1177" t="str">
        <f>Tootep_kalk!AW34</f>
        <v>Suvioder</v>
      </c>
      <c r="L4" s="1178"/>
      <c r="N4" s="1177" t="str">
        <f>Tootep_kalk!BB34</f>
        <v>Kaer</v>
      </c>
      <c r="O4" s="1178"/>
      <c r="P4" s="462"/>
      <c r="Q4" s="1177" t="str">
        <f>Tootep_kalk!BG34</f>
        <v>Tritikale</v>
      </c>
      <c r="R4" s="1178"/>
      <c r="T4" s="1177" t="s">
        <v>496</v>
      </c>
      <c r="U4" s="1178"/>
      <c r="W4" s="1177" t="str">
        <f>Tootep_kalk!BQ34</f>
        <v>Taliraps</v>
      </c>
      <c r="X4" s="1178"/>
      <c r="Z4" s="1177" t="str">
        <f>Tootep_kalk!BV34</f>
        <v>Suviraps</v>
      </c>
      <c r="AA4" s="1178"/>
      <c r="AC4" s="1177" t="str">
        <f>Tootep_kalk!CA34</f>
        <v>Talirüps</v>
      </c>
      <c r="AD4" s="1178"/>
      <c r="AF4" s="1177" t="str">
        <f>Tootep_kalk!CF34</f>
        <v>Suvirüps</v>
      </c>
      <c r="AG4" s="1178"/>
      <c r="AI4" s="1177" t="str">
        <f>Tootep_kalk!CK34</f>
        <v>Hernes</v>
      </c>
      <c r="AJ4" s="1178"/>
      <c r="AL4" s="1177" t="str">
        <f>Tootep_kalk!CP34</f>
        <v>Põlduba</v>
      </c>
      <c r="AM4" s="1178"/>
    </row>
    <row r="5" spans="2:39" ht="28.4" customHeight="1">
      <c r="B5" s="533" t="str">
        <f>Tootep_kalk!AH35</f>
        <v>Emissiooniallikas</v>
      </c>
      <c r="C5" s="534" t="s">
        <v>497</v>
      </c>
      <c r="E5" s="533" t="str">
        <f>Tootep_kalk!AM35</f>
        <v>Emissiooniallikas</v>
      </c>
      <c r="F5" s="593" t="str">
        <f>Tootep_kalk!AP35</f>
        <v>kg CO2-ekv / tonni vilja kohta</v>
      </c>
      <c r="H5" s="533" t="str">
        <f>Tootep_kalk!AR35</f>
        <v>Emissiooniallikas</v>
      </c>
      <c r="I5" s="593" t="str">
        <f>Tootep_kalk!AU35</f>
        <v>kg CO2-ekv / tonni vilja kohta</v>
      </c>
      <c r="K5" s="533" t="str">
        <f>Tootep_kalk!AW35</f>
        <v>Emissiooniallikas</v>
      </c>
      <c r="L5" s="593" t="str">
        <f>Tootep_kalk!AZ35</f>
        <v>kg CO2-ekv / tonni vilja kohta</v>
      </c>
      <c r="N5" s="533" t="str">
        <f>Tootep_kalk!BB35</f>
        <v>Emissiooniallikas</v>
      </c>
      <c r="O5" s="593" t="str">
        <f>Tootep_kalk!BE35</f>
        <v>kg CO2-ekv / tonni vilja kohta</v>
      </c>
      <c r="P5" s="458"/>
      <c r="Q5" s="533" t="str">
        <f>Tootep_kalk!BG35</f>
        <v>Emissiooniallikas</v>
      </c>
      <c r="R5" s="593" t="str">
        <f>Tootep_kalk!BJ35</f>
        <v>kg CO2-ekv / tonni vilja kohta</v>
      </c>
      <c r="T5" s="533" t="str">
        <f>Tootep_kalk!BL35</f>
        <v>Emissiooniallikas</v>
      </c>
      <c r="U5" s="534" t="str">
        <f>Tootep_kalk!BO35</f>
        <v>kg CO2-ekv / tonni vilja kohta</v>
      </c>
      <c r="W5" s="533" t="str">
        <f>Tootep_kalk!BQ35</f>
        <v>Emissiooniallikas</v>
      </c>
      <c r="X5" s="593" t="str">
        <f>Tootep_kalk!BT35</f>
        <v>kg CO2-ekv / tonni vilja kohta</v>
      </c>
      <c r="Z5" s="533" t="str">
        <f>Tootep_kalk!BV35</f>
        <v>Emissiooniallikas</v>
      </c>
      <c r="AA5" s="593" t="str">
        <f>Tootep_kalk!BY35</f>
        <v>kg CO2-ekv / tonni vilja kohta</v>
      </c>
      <c r="AC5" s="533" t="str">
        <f>Tootep_kalk!CA35</f>
        <v>Emissiooniallikas</v>
      </c>
      <c r="AD5" s="593" t="str">
        <f>Tootep_kalk!CD35</f>
        <v>kg CO2-ekv / tonni vilja kohta</v>
      </c>
      <c r="AF5" s="533" t="str">
        <f>Tootep_kalk!CF35</f>
        <v>Emissiooniallikas</v>
      </c>
      <c r="AG5" s="593" t="str">
        <f>Tootep_kalk!CI35</f>
        <v>kg CO2-ekv / tonni vilja kohta</v>
      </c>
      <c r="AI5" s="533" t="str">
        <f>Tootep_kalk!CK35</f>
        <v>Emissiooniallikas</v>
      </c>
      <c r="AJ5" s="593" t="str">
        <f>Tootep_kalk!CN35</f>
        <v>kg CO2-ekv / tonni vilja kohta</v>
      </c>
      <c r="AL5" s="533" t="str">
        <f>Tootep_kalk!CP35</f>
        <v>Emissiooniallikas</v>
      </c>
      <c r="AM5" s="593" t="str">
        <f>Tootep_kalk!CS35</f>
        <v>kg CO2-ekv / tonni vilja kohta</v>
      </c>
    </row>
    <row r="6" spans="2:39" ht="18.649999999999999" customHeight="1">
      <c r="B6" s="414" t="str">
        <f>Tootep_kalk!AH36</f>
        <v>Otsene N2O</v>
      </c>
      <c r="C6" s="529" t="str">
        <f>Tootep_kalk!AK36</f>
        <v>0</v>
      </c>
      <c r="E6" s="414" t="str">
        <f>Tootep_kalk!AM36</f>
        <v>Otsene N2O</v>
      </c>
      <c r="F6" s="596" t="str">
        <f>Tootep_kalk!AP36</f>
        <v>0</v>
      </c>
      <c r="H6" s="414" t="str">
        <f>Tootep_kalk!AR36</f>
        <v>Otsene N2O</v>
      </c>
      <c r="I6" s="596" t="str">
        <f>Tootep_kalk!AU36</f>
        <v>0</v>
      </c>
      <c r="K6" s="414" t="str">
        <f>Tootep_kalk!AW36</f>
        <v>Otsene N2O</v>
      </c>
      <c r="L6" s="529" t="str">
        <f>Tootep_kalk!AZ36</f>
        <v>0</v>
      </c>
      <c r="N6" s="414" t="str">
        <f>Tootep_kalk!BB36</f>
        <v>Otsene N2O</v>
      </c>
      <c r="O6" s="596" t="str">
        <f>Tootep_kalk!BE36</f>
        <v>0</v>
      </c>
      <c r="P6" s="458"/>
      <c r="Q6" s="414" t="str">
        <f>Tootep_kalk!BG36</f>
        <v>Otsene N2O</v>
      </c>
      <c r="R6" s="529" t="str">
        <f>Tootep_kalk!BJ36</f>
        <v>0</v>
      </c>
      <c r="T6" s="414" t="str">
        <f>Tootep_kalk!BL36</f>
        <v>Otsene N2O</v>
      </c>
      <c r="U6" s="415" t="str">
        <f>Tootep_kalk!BO36</f>
        <v>0</v>
      </c>
      <c r="W6" s="414" t="str">
        <f>Tootep_kalk!BQ36</f>
        <v>Otsene N2O</v>
      </c>
      <c r="X6" s="596" t="str">
        <f>Tootep_kalk!BT36</f>
        <v>0</v>
      </c>
      <c r="Z6" s="414" t="str">
        <f>Tootep_kalk!BV36</f>
        <v>Otsene N2O</v>
      </c>
      <c r="AA6" s="596" t="str">
        <f>Tootep_kalk!BY36</f>
        <v>0</v>
      </c>
      <c r="AC6" s="414" t="str">
        <f>Tootep_kalk!CA36</f>
        <v>Otsene N2O</v>
      </c>
      <c r="AD6" s="596" t="str">
        <f>Tootep_kalk!CD36</f>
        <v>0</v>
      </c>
      <c r="AF6" s="414" t="str">
        <f>Tootep_kalk!CF36</f>
        <v>Otsene N2O</v>
      </c>
      <c r="AG6" s="596" t="str">
        <f>Tootep_kalk!CI36</f>
        <v>0</v>
      </c>
      <c r="AI6" s="414" t="str">
        <f>Tootep_kalk!CK36</f>
        <v>Otsene N2O</v>
      </c>
      <c r="AJ6" s="869" t="str">
        <f>Tootep_kalk!CN36</f>
        <v>0</v>
      </c>
      <c r="AL6" s="414" t="str">
        <f>Tootep_kalk!CP36</f>
        <v>Otsene N2O</v>
      </c>
      <c r="AM6" s="869" t="str">
        <f>Tootep_kalk!CS36</f>
        <v>0</v>
      </c>
    </row>
    <row r="7" spans="2:39" ht="17.5" customHeight="1">
      <c r="B7" s="531" t="str">
        <f>Tootep_kalk!AH37</f>
        <v>Kaudne N2O, lendumine</v>
      </c>
      <c r="C7" s="532" t="str">
        <f>Tootep_kalk!AK37</f>
        <v>0</v>
      </c>
      <c r="E7" s="531" t="str">
        <f>Tootep_kalk!AM37</f>
        <v>Kaudne N2O, lendumine</v>
      </c>
      <c r="F7" s="597" t="str">
        <f>Tootep_kalk!AP37</f>
        <v>0</v>
      </c>
      <c r="H7" s="531" t="str">
        <f>Tootep_kalk!AR37</f>
        <v>Kaudne N2O, lendumine</v>
      </c>
      <c r="I7" s="597" t="str">
        <f>Tootep_kalk!AU37</f>
        <v>0</v>
      </c>
      <c r="K7" s="531" t="str">
        <f>Tootep_kalk!AW37</f>
        <v>Kaudne N2O, lendumine</v>
      </c>
      <c r="L7" s="532" t="str">
        <f>Tootep_kalk!AZ37</f>
        <v>0</v>
      </c>
      <c r="N7" s="531" t="str">
        <f>Tootep_kalk!BB37</f>
        <v>Kaudne N2O, lendumine</v>
      </c>
      <c r="O7" s="597" t="str">
        <f>Tootep_kalk!BE37</f>
        <v>0</v>
      </c>
      <c r="P7" s="458"/>
      <c r="Q7" s="531" t="str">
        <f>Tootep_kalk!BG37</f>
        <v>Kaudne N2O, lendumine</v>
      </c>
      <c r="R7" s="532" t="str">
        <f>Tootep_kalk!BJ37</f>
        <v>0</v>
      </c>
      <c r="T7" s="531" t="str">
        <f>Tootep_kalk!BL37</f>
        <v>Kaudne N2O, lendumine</v>
      </c>
      <c r="U7" s="503" t="str">
        <f>Tootep_kalk!BO37</f>
        <v>0</v>
      </c>
      <c r="W7" s="531" t="str">
        <f>Tootep_kalk!BQ37</f>
        <v>Kaudne N2O, lendumine</v>
      </c>
      <c r="X7" s="597" t="str">
        <f>Tootep_kalk!BT37</f>
        <v>0</v>
      </c>
      <c r="Z7" s="531" t="str">
        <f>Tootep_kalk!BV37</f>
        <v>Kaudne N2O, lendumine</v>
      </c>
      <c r="AA7" s="597" t="str">
        <f>Tootep_kalk!BY37</f>
        <v>0</v>
      </c>
      <c r="AC7" s="531" t="str">
        <f>Tootep_kalk!CA37</f>
        <v>Kaudne N2O, lendumine</v>
      </c>
      <c r="AD7" s="597" t="str">
        <f>Tootep_kalk!CD37</f>
        <v>0</v>
      </c>
      <c r="AF7" s="531" t="str">
        <f>Tootep_kalk!CF37</f>
        <v>Kaudne N2O, lendumine</v>
      </c>
      <c r="AG7" s="597" t="str">
        <f>Tootep_kalk!CI37</f>
        <v>0</v>
      </c>
      <c r="AI7" s="531" t="str">
        <f>Tootep_kalk!CK37</f>
        <v>Kaudne N2O, lendumine</v>
      </c>
      <c r="AJ7" s="870" t="str">
        <f>Tootep_kalk!CN37</f>
        <v>0</v>
      </c>
      <c r="AL7" s="531" t="str">
        <f>Tootep_kalk!CP37</f>
        <v>Kaudne N2O, lendumine</v>
      </c>
      <c r="AM7" s="870" t="str">
        <f>Tootep_kalk!CS37</f>
        <v>0</v>
      </c>
    </row>
    <row r="8" spans="2:39" ht="18" customHeight="1">
      <c r="B8" s="414" t="str">
        <f>Tootep_kalk!AH38</f>
        <v>Kaudne N2O, leostumine</v>
      </c>
      <c r="C8" s="529" t="str">
        <f>Tootep_kalk!AK38</f>
        <v>0</v>
      </c>
      <c r="E8" s="414" t="str">
        <f>Tootep_kalk!AM38</f>
        <v>Kaudne N2O, leostumine</v>
      </c>
      <c r="F8" s="596" t="str">
        <f>Tootep_kalk!AP38</f>
        <v>0</v>
      </c>
      <c r="H8" s="414" t="str">
        <f>Tootep_kalk!AR38</f>
        <v>Kaudne N2O, leostumine</v>
      </c>
      <c r="I8" s="596" t="str">
        <f>Tootep_kalk!AU38</f>
        <v>0</v>
      </c>
      <c r="K8" s="414" t="str">
        <f>Tootep_kalk!AW38</f>
        <v>Kaudne N2O, leostumine</v>
      </c>
      <c r="L8" s="529" t="str">
        <f>Tootep_kalk!AZ38</f>
        <v>0</v>
      </c>
      <c r="N8" s="414" t="str">
        <f>Tootep_kalk!BB38</f>
        <v>Kaudne N2O, leostumine</v>
      </c>
      <c r="O8" s="596" t="str">
        <f>Tootep_kalk!BE38</f>
        <v>0</v>
      </c>
      <c r="P8" s="458"/>
      <c r="Q8" s="414" t="str">
        <f>Tootep_kalk!BG38</f>
        <v>Kaudne N2O, leostumine</v>
      </c>
      <c r="R8" s="529" t="str">
        <f>Tootep_kalk!BJ38</f>
        <v>0</v>
      </c>
      <c r="T8" s="414" t="str">
        <f>Tootep_kalk!BL38</f>
        <v>Kaudne N2O, leostumine</v>
      </c>
      <c r="U8" s="415" t="str">
        <f>Tootep_kalk!BO38</f>
        <v>0</v>
      </c>
      <c r="W8" s="414" t="str">
        <f>Tootep_kalk!BQ38</f>
        <v>Kaudne N2O, leostumine</v>
      </c>
      <c r="X8" s="596" t="str">
        <f>Tootep_kalk!BT38</f>
        <v>0</v>
      </c>
      <c r="Z8" s="414" t="str">
        <f>Tootep_kalk!BV38</f>
        <v>Kaudne N2O, leostumine</v>
      </c>
      <c r="AA8" s="596" t="str">
        <f>Tootep_kalk!BY38</f>
        <v>0</v>
      </c>
      <c r="AC8" s="414" t="str">
        <f>Tootep_kalk!CA38</f>
        <v>Kaudne N2O, leostumine</v>
      </c>
      <c r="AD8" s="596" t="str">
        <f>Tootep_kalk!CD38</f>
        <v>0</v>
      </c>
      <c r="AF8" s="414" t="str">
        <f>Tootep_kalk!CF38</f>
        <v>Kaudne N2O, leostumine</v>
      </c>
      <c r="AG8" s="596" t="str">
        <f>Tootep_kalk!CI38</f>
        <v>0</v>
      </c>
      <c r="AI8" s="414" t="str">
        <f>Tootep_kalk!CK38</f>
        <v>Kaudne N2O, leostumine</v>
      </c>
      <c r="AJ8" s="869" t="str">
        <f>Tootep_kalk!CN38</f>
        <v>0</v>
      </c>
      <c r="AL8" s="414" t="str">
        <f>Tootep_kalk!CP38</f>
        <v>Kaudne N2O, leostumine</v>
      </c>
      <c r="AM8" s="869" t="str">
        <f>Tootep_kalk!CS38</f>
        <v>0</v>
      </c>
    </row>
    <row r="9" spans="2:39" ht="15.65" customHeight="1">
      <c r="B9" s="531" t="str">
        <f>Tootep_kalk!AH39</f>
        <v>Turvasmuldadelt heited</v>
      </c>
      <c r="C9" s="532" t="str">
        <f>Tootep_kalk!AK39</f>
        <v>0</v>
      </c>
      <c r="E9" s="531" t="str">
        <f>Tootep_kalk!AM39</f>
        <v>Turvasmuldadelt heited</v>
      </c>
      <c r="F9" s="597" t="str">
        <f>Tootep_kalk!AP39</f>
        <v>0</v>
      </c>
      <c r="H9" s="531" t="str">
        <f>Tootep_kalk!AR39</f>
        <v>Turvasmuldadelt heited</v>
      </c>
      <c r="I9" s="597" t="str">
        <f>Tootep_kalk!AU39</f>
        <v>0</v>
      </c>
      <c r="K9" s="531" t="str">
        <f>Tootep_kalk!AW39</f>
        <v>Turvasmuldadelt heited</v>
      </c>
      <c r="L9" s="532" t="str">
        <f>Tootep_kalk!AZ39</f>
        <v>0</v>
      </c>
      <c r="N9" s="531" t="str">
        <f>Tootep_kalk!BB39</f>
        <v>Turvasmuldadelt heited</v>
      </c>
      <c r="O9" s="597" t="str">
        <f>Tootep_kalk!BE39</f>
        <v>0</v>
      </c>
      <c r="P9" s="458"/>
      <c r="Q9" s="531" t="str">
        <f>Tootep_kalk!BG39</f>
        <v>Turvasmuldadelt heited</v>
      </c>
      <c r="R9" s="532" t="str">
        <f>Tootep_kalk!BJ39</f>
        <v>0</v>
      </c>
      <c r="T9" s="531" t="str">
        <f>Tootep_kalk!BL39</f>
        <v>Turvasmuldadelt heited</v>
      </c>
      <c r="U9" s="503" t="str">
        <f>Tootep_kalk!BO39</f>
        <v>0</v>
      </c>
      <c r="W9" s="531" t="str">
        <f>Tootep_kalk!BQ39</f>
        <v>Turvasmuldadelt heited</v>
      </c>
      <c r="X9" s="597" t="str">
        <f>Tootep_kalk!BT39</f>
        <v>0</v>
      </c>
      <c r="Z9" s="531" t="str">
        <f>Tootep_kalk!BV39</f>
        <v>Turvasmuldadelt heited</v>
      </c>
      <c r="AA9" s="597" t="str">
        <f>Tootep_kalk!BY39</f>
        <v>0</v>
      </c>
      <c r="AC9" s="531" t="str">
        <f>Tootep_kalk!CA39</f>
        <v>Turvasmuldadelt heited</v>
      </c>
      <c r="AD9" s="597" t="str">
        <f>Tootep_kalk!CD39</f>
        <v>0</v>
      </c>
      <c r="AF9" s="531" t="str">
        <f>Tootep_kalk!CF39</f>
        <v>Turvasmuldadelt heited</v>
      </c>
      <c r="AG9" s="597" t="str">
        <f>Tootep_kalk!CI39</f>
        <v>0</v>
      </c>
      <c r="AI9" s="531" t="str">
        <f>Tootep_kalk!CK39</f>
        <v>Turvasmuldadelt heited</v>
      </c>
      <c r="AJ9" s="870" t="str">
        <f>Tootep_kalk!CN39</f>
        <v>0</v>
      </c>
      <c r="AL9" s="531" t="str">
        <f>Tootep_kalk!CP39</f>
        <v>Turvasmuldadelt heited</v>
      </c>
      <c r="AM9" s="870" t="str">
        <f>Tootep_kalk!CS39</f>
        <v>0</v>
      </c>
    </row>
    <row r="10" spans="2:39" ht="17.149999999999999" customHeight="1">
      <c r="B10" s="414" t="str">
        <f>Tootep_kalk!AH40</f>
        <v>Külviseemne tootmine</v>
      </c>
      <c r="C10" s="529">
        <f>Tootep_kalk!AK40</f>
        <v>0</v>
      </c>
      <c r="E10" s="414" t="str">
        <f>Tootep_kalk!AM40</f>
        <v>Külviseemne tootmine</v>
      </c>
      <c r="F10" s="596">
        <f>Tootep_kalk!AP40</f>
        <v>0</v>
      </c>
      <c r="H10" s="414" t="str">
        <f>Tootep_kalk!AR40</f>
        <v>Külviseemne tootmine</v>
      </c>
      <c r="I10" s="596">
        <f>Tootep_kalk!AU40</f>
        <v>0</v>
      </c>
      <c r="K10" s="414" t="str">
        <f>Tootep_kalk!AW40</f>
        <v>Külviseemne tootmine</v>
      </c>
      <c r="L10" s="529">
        <f>Tootep_kalk!AZ40</f>
        <v>0</v>
      </c>
      <c r="N10" s="414" t="str">
        <f>Tootep_kalk!BB40</f>
        <v>Külviseemne tootmine</v>
      </c>
      <c r="O10" s="596">
        <f>Tootep_kalk!BE40</f>
        <v>0</v>
      </c>
      <c r="P10" s="458"/>
      <c r="Q10" s="414" t="str">
        <f>Tootep_kalk!BG40</f>
        <v>Külviseemne tootmine</v>
      </c>
      <c r="R10" s="529">
        <f>Tootep_kalk!BJ40</f>
        <v>0</v>
      </c>
      <c r="T10" s="414" t="str">
        <f>Tootep_kalk!BL40</f>
        <v>Külviseemne tootmine</v>
      </c>
      <c r="U10" s="415">
        <f>Tootep_kalk!BO40</f>
        <v>0</v>
      </c>
      <c r="W10" s="414" t="str">
        <f>Tootep_kalk!BQ40</f>
        <v>Külviseemne tootmine</v>
      </c>
      <c r="X10" s="596">
        <f>Tootep_kalk!BT40</f>
        <v>0</v>
      </c>
      <c r="Z10" s="414" t="str">
        <f>Tootep_kalk!BV40</f>
        <v>Külviseemne tootmine</v>
      </c>
      <c r="AA10" s="596">
        <f>Tootep_kalk!BY40</f>
        <v>0</v>
      </c>
      <c r="AC10" s="414" t="str">
        <f>Tootep_kalk!CA40</f>
        <v>Külviseemne tootmine</v>
      </c>
      <c r="AD10" s="596">
        <f>Tootep_kalk!CD40</f>
        <v>0</v>
      </c>
      <c r="AF10" s="414" t="str">
        <f>Tootep_kalk!CF40</f>
        <v>Külviseemne tootmine</v>
      </c>
      <c r="AG10" s="596">
        <f>Tootep_kalk!CI40</f>
        <v>0</v>
      </c>
      <c r="AI10" s="414" t="str">
        <f>Tootep_kalk!CK40</f>
        <v>Külviseemne tootmine</v>
      </c>
      <c r="AJ10" s="869">
        <f>Tootep_kalk!CN40</f>
        <v>0</v>
      </c>
      <c r="AL10" s="414" t="str">
        <f>Tootep_kalk!CP40</f>
        <v>Külviseemne tootmine</v>
      </c>
      <c r="AM10" s="869">
        <f>Tootep_kalk!CS40</f>
        <v>0</v>
      </c>
    </row>
    <row r="11" spans="2:39" ht="16.399999999999999" customHeight="1">
      <c r="B11" s="531" t="str">
        <f>Tootep_kalk!AH41</f>
        <v>Mineraalse N väetise tootmine</v>
      </c>
      <c r="C11" s="532" t="str">
        <f>Tootep_kalk!AK41</f>
        <v>0</v>
      </c>
      <c r="E11" s="531" t="str">
        <f>Tootep_kalk!AM41</f>
        <v>Mineraalse N väetise tootmine</v>
      </c>
      <c r="F11" s="597" t="str">
        <f>Tootep_kalk!AP41</f>
        <v>0</v>
      </c>
      <c r="H11" s="531" t="str">
        <f>Tootep_kalk!AR41</f>
        <v>Mineraalse N väetise tootmine</v>
      </c>
      <c r="I11" s="597" t="str">
        <f>Tootep_kalk!AU41</f>
        <v>0</v>
      </c>
      <c r="K11" s="531" t="str">
        <f>Tootep_kalk!AW41</f>
        <v>Mineraalse N väetise tootmine</v>
      </c>
      <c r="L11" s="532" t="str">
        <f>Tootep_kalk!AZ41</f>
        <v>0</v>
      </c>
      <c r="N11" s="531" t="str">
        <f>Tootep_kalk!BB41</f>
        <v>Mineraalse N väetise tootmine</v>
      </c>
      <c r="O11" s="597" t="str">
        <f>Tootep_kalk!BE41</f>
        <v>0</v>
      </c>
      <c r="P11" s="458"/>
      <c r="Q11" s="531" t="str">
        <f>Tootep_kalk!BG41</f>
        <v>Mineraalse N väetise tootmine</v>
      </c>
      <c r="R11" s="532" t="str">
        <f>Tootep_kalk!BJ41</f>
        <v>0</v>
      </c>
      <c r="T11" s="531" t="str">
        <f>Tootep_kalk!BL41</f>
        <v>Mineraalse N väetise tootmine</v>
      </c>
      <c r="U11" s="503" t="str">
        <f>Tootep_kalk!BO41</f>
        <v>0</v>
      </c>
      <c r="W11" s="531" t="str">
        <f>Tootep_kalk!BQ41</f>
        <v>Mineraalse N väetise tootmine</v>
      </c>
      <c r="X11" s="597" t="str">
        <f>Tootep_kalk!BT41</f>
        <v>0</v>
      </c>
      <c r="Z11" s="531" t="str">
        <f>Tootep_kalk!BV41</f>
        <v>Mineraalse N väetise tootmine</v>
      </c>
      <c r="AA11" s="597" t="str">
        <f>Tootep_kalk!BY41</f>
        <v>0</v>
      </c>
      <c r="AC11" s="531" t="str">
        <f>Tootep_kalk!CA41</f>
        <v>Mineraalse N väetise tootmine</v>
      </c>
      <c r="AD11" s="597" t="str">
        <f>Tootep_kalk!CD41</f>
        <v>0</v>
      </c>
      <c r="AF11" s="531" t="str">
        <f>Tootep_kalk!CF41</f>
        <v>Mineraalse N väetise tootmine</v>
      </c>
      <c r="AG11" s="597" t="str">
        <f>Tootep_kalk!CI41</f>
        <v>0</v>
      </c>
      <c r="AI11" s="531" t="str">
        <f>Tootep_kalk!CK41</f>
        <v>Mineraalse N väetise tootmine</v>
      </c>
      <c r="AJ11" s="870" t="str">
        <f>Tootep_kalk!CN41</f>
        <v>0</v>
      </c>
      <c r="AL11" s="531" t="str">
        <f>Tootep_kalk!CP41</f>
        <v>Mineraalse N väetise tootmine</v>
      </c>
      <c r="AM11" s="870" t="str">
        <f>Tootep_kalk!CS41</f>
        <v>0</v>
      </c>
    </row>
    <row r="12" spans="2:39" ht="15.65" customHeight="1">
      <c r="B12" s="414" t="str">
        <f>Tootep_kalk!AH42</f>
        <v>Mineraalse P väetise tootmine</v>
      </c>
      <c r="C12" s="529">
        <f>Tootep_kalk!AK42</f>
        <v>0</v>
      </c>
      <c r="E12" s="414" t="str">
        <f>Tootep_kalk!AM42</f>
        <v>Mineraalse P väetise tootmine</v>
      </c>
      <c r="F12" s="596">
        <f>Tootep_kalk!AP42</f>
        <v>0</v>
      </c>
      <c r="H12" s="414" t="str">
        <f>Tootep_kalk!AR42</f>
        <v>Mineraalse P väetise tootmine</v>
      </c>
      <c r="I12" s="596">
        <f>Tootep_kalk!AU42</f>
        <v>0</v>
      </c>
      <c r="K12" s="414" t="str">
        <f>Tootep_kalk!AW42</f>
        <v>Mineraalse P väetise tootmine</v>
      </c>
      <c r="L12" s="529">
        <f>Tootep_kalk!AZ42</f>
        <v>0</v>
      </c>
      <c r="N12" s="414" t="str">
        <f>Tootep_kalk!BB42</f>
        <v>Mineraalse P väetise tootmine</v>
      </c>
      <c r="O12" s="596">
        <f>Tootep_kalk!BE42</f>
        <v>0</v>
      </c>
      <c r="Q12" s="414" t="str">
        <f>Tootep_kalk!BG42</f>
        <v>Mineraalse P väetise tootmine</v>
      </c>
      <c r="R12" s="529">
        <f>Tootep_kalk!BJ42</f>
        <v>0</v>
      </c>
      <c r="T12" s="414" t="str">
        <f>Tootep_kalk!BL42</f>
        <v>Mineraalse P väetise tootmine</v>
      </c>
      <c r="U12" s="415">
        <f>Tootep_kalk!BO42</f>
        <v>0</v>
      </c>
      <c r="W12" s="414" t="str">
        <f>Tootep_kalk!BQ42</f>
        <v>Mineraalse P väetise tootmine</v>
      </c>
      <c r="X12" s="596">
        <f>Tootep_kalk!BT42</f>
        <v>0</v>
      </c>
      <c r="Z12" s="414" t="str">
        <f>Tootep_kalk!BV42</f>
        <v>Mineraalse P väetise tootmine</v>
      </c>
      <c r="AA12" s="596">
        <f>Tootep_kalk!BY42</f>
        <v>0</v>
      </c>
      <c r="AC12" s="414" t="str">
        <f>Tootep_kalk!CA42</f>
        <v>Mineraalse P väetise tootmine</v>
      </c>
      <c r="AD12" s="596">
        <f>Tootep_kalk!CD42</f>
        <v>0</v>
      </c>
      <c r="AF12" s="414" t="str">
        <f>Tootep_kalk!CF42</f>
        <v>Mineraalse P väetise tootmine</v>
      </c>
      <c r="AG12" s="596">
        <f>Tootep_kalk!CI42</f>
        <v>0</v>
      </c>
      <c r="AI12" s="414" t="str">
        <f>Tootep_kalk!CK42</f>
        <v>Mineraalse P väetise tootmine</v>
      </c>
      <c r="AJ12" s="869">
        <f>Tootep_kalk!CN42</f>
        <v>0</v>
      </c>
      <c r="AL12" s="414" t="str">
        <f>Tootep_kalk!CP42</f>
        <v>Mineraalse P väetise tootmine</v>
      </c>
      <c r="AM12" s="869">
        <f>Tootep_kalk!CS42</f>
        <v>0</v>
      </c>
    </row>
    <row r="13" spans="2:39" ht="16.399999999999999" customHeight="1">
      <c r="B13" s="531" t="str">
        <f>Tootep_kalk!AH43</f>
        <v>Mineraalse K väetise tootmine</v>
      </c>
      <c r="C13" s="532">
        <f>Tootep_kalk!AK43</f>
        <v>0</v>
      </c>
      <c r="E13" s="531" t="str">
        <f>Tootep_kalk!AM43</f>
        <v>Mineraalse K väetise tootmine</v>
      </c>
      <c r="F13" s="597">
        <f>Tootep_kalk!AP43</f>
        <v>0</v>
      </c>
      <c r="H13" s="531" t="str">
        <f>Tootep_kalk!AR43</f>
        <v>Mineraalse K väetise tootmine</v>
      </c>
      <c r="I13" s="597">
        <f>Tootep_kalk!AU43</f>
        <v>0</v>
      </c>
      <c r="K13" s="531" t="str">
        <f>Tootep_kalk!AW43</f>
        <v>Mineraalse K väetise tootmine</v>
      </c>
      <c r="L13" s="532">
        <f>Tootep_kalk!AZ43</f>
        <v>0</v>
      </c>
      <c r="N13" s="531" t="str">
        <f>Tootep_kalk!BB43</f>
        <v>Mineraalse K väetise tootmine</v>
      </c>
      <c r="O13" s="597">
        <f>Tootep_kalk!BE43</f>
        <v>0</v>
      </c>
      <c r="Q13" s="531" t="str">
        <f>Tootep_kalk!BG43</f>
        <v>Mineraalse K väetise tootmine</v>
      </c>
      <c r="R13" s="532">
        <f>Tootep_kalk!BJ43</f>
        <v>0</v>
      </c>
      <c r="T13" s="531" t="str">
        <f>Tootep_kalk!BL43</f>
        <v>Mineraalse K väetise tootmine</v>
      </c>
      <c r="U13" s="503">
        <f>Tootep_kalk!BO43</f>
        <v>0</v>
      </c>
      <c r="W13" s="531" t="str">
        <f>Tootep_kalk!BQ43</f>
        <v>Mineraalse K väetise tootmine</v>
      </c>
      <c r="X13" s="597">
        <f>Tootep_kalk!BT43</f>
        <v>0</v>
      </c>
      <c r="Z13" s="531" t="str">
        <f>Tootep_kalk!BV43</f>
        <v>Mineraalse K väetise tootmine</v>
      </c>
      <c r="AA13" s="597">
        <f>Tootep_kalk!BY43</f>
        <v>0</v>
      </c>
      <c r="AC13" s="531" t="str">
        <f>Tootep_kalk!CA43</f>
        <v>Mineraalse K väetise tootmine</v>
      </c>
      <c r="AD13" s="597">
        <f>Tootep_kalk!CD43</f>
        <v>0</v>
      </c>
      <c r="AF13" s="531" t="str">
        <f>Tootep_kalk!CF43</f>
        <v>Mineraalse K väetise tootmine</v>
      </c>
      <c r="AG13" s="597">
        <f>Tootep_kalk!CI43</f>
        <v>0</v>
      </c>
      <c r="AI13" s="531" t="str">
        <f>Tootep_kalk!CK43</f>
        <v>Mineraalse K väetise tootmine</v>
      </c>
      <c r="AJ13" s="870">
        <f>Tootep_kalk!CN43</f>
        <v>0</v>
      </c>
      <c r="AL13" s="531" t="str">
        <f>Tootep_kalk!CP43</f>
        <v>Mineraalse K väetise tootmine</v>
      </c>
      <c r="AM13" s="870">
        <f>Tootep_kalk!CS43</f>
        <v>0</v>
      </c>
    </row>
    <row r="14" spans="2:39" ht="15.65" customHeight="1">
      <c r="B14" s="414" t="str">
        <f>Tootep_kalk!AH44</f>
        <v>Lubiväetis</v>
      </c>
      <c r="C14" s="529" t="str">
        <f>Tootep_kalk!AK44</f>
        <v>0</v>
      </c>
      <c r="E14" s="414" t="str">
        <f>Tootep_kalk!AM44</f>
        <v>Lubiväetis</v>
      </c>
      <c r="F14" s="596" t="str">
        <f>Tootep_kalk!AP44</f>
        <v>0</v>
      </c>
      <c r="H14" s="414" t="str">
        <f>Tootep_kalk!AR44</f>
        <v>Lubiväetis</v>
      </c>
      <c r="I14" s="596" t="str">
        <f>Tootep_kalk!AU44</f>
        <v>0</v>
      </c>
      <c r="K14" s="414" t="str">
        <f>Tootep_kalk!AW44</f>
        <v>Lubiväetis</v>
      </c>
      <c r="L14" s="529" t="str">
        <f>Tootep_kalk!AZ44</f>
        <v>0</v>
      </c>
      <c r="N14" s="414" t="str">
        <f>Tootep_kalk!BB44</f>
        <v>Lubiväetis</v>
      </c>
      <c r="O14" s="596" t="str">
        <f>Tootep_kalk!BE44</f>
        <v>0</v>
      </c>
      <c r="P14" s="458"/>
      <c r="Q14" s="414" t="str">
        <f>Tootep_kalk!BG44</f>
        <v>Lubiväetis</v>
      </c>
      <c r="R14" s="529" t="str">
        <f>Tootep_kalk!BJ44</f>
        <v>0</v>
      </c>
      <c r="T14" s="414" t="str">
        <f>Tootep_kalk!BL44</f>
        <v>Lubiväetis</v>
      </c>
      <c r="U14" s="415" t="str">
        <f>Tootep_kalk!BO44</f>
        <v>0</v>
      </c>
      <c r="W14" s="414" t="str">
        <f>Tootep_kalk!BQ44</f>
        <v>Lubiväetis</v>
      </c>
      <c r="X14" s="596" t="str">
        <f>Tootep_kalk!BT44</f>
        <v>0</v>
      </c>
      <c r="Z14" s="414" t="str">
        <f>Tootep_kalk!BV44</f>
        <v>Lubiväetis</v>
      </c>
      <c r="AA14" s="596" t="str">
        <f>Tootep_kalk!BY44</f>
        <v>0</v>
      </c>
      <c r="AC14" s="414" t="str">
        <f>Tootep_kalk!CA44</f>
        <v>Lubiväetis</v>
      </c>
      <c r="AD14" s="596" t="str">
        <f>Tootep_kalk!CD44</f>
        <v>0</v>
      </c>
      <c r="AF14" s="414" t="str">
        <f>Tootep_kalk!CF44</f>
        <v>Lubiväetis</v>
      </c>
      <c r="AG14" s="596" t="str">
        <f>Tootep_kalk!CI44</f>
        <v>0</v>
      </c>
      <c r="AI14" s="414" t="str">
        <f>Tootep_kalk!CK44</f>
        <v>Lubiväetis</v>
      </c>
      <c r="AJ14" s="869" t="str">
        <f>Tootep_kalk!CN44</f>
        <v>0</v>
      </c>
      <c r="AL14" s="414" t="str">
        <f>Tootep_kalk!CP44</f>
        <v>Lubiväetis</v>
      </c>
      <c r="AM14" s="869" t="str">
        <f>Tootep_kalk!CS44</f>
        <v>0</v>
      </c>
    </row>
    <row r="15" spans="2:39" ht="15.65" customHeight="1">
      <c r="B15" s="531" t="str">
        <f>Tootep_kalk!AH45</f>
        <v>Karbamiidi kasutus</v>
      </c>
      <c r="C15" s="532" t="str">
        <f>Tootep_kalk!AK45</f>
        <v>0</v>
      </c>
      <c r="E15" s="531" t="str">
        <f>Tootep_kalk!AM45</f>
        <v>Karbamiidi kasutus</v>
      </c>
      <c r="F15" s="597" t="str">
        <f>Tootep_kalk!AP45</f>
        <v>0</v>
      </c>
      <c r="H15" s="531" t="str">
        <f>Tootep_kalk!AR45</f>
        <v>Karbamiidi kasutus</v>
      </c>
      <c r="I15" s="597" t="str">
        <f>Tootep_kalk!AU45</f>
        <v>0</v>
      </c>
      <c r="K15" s="531" t="str">
        <f>Tootep_kalk!AW45</f>
        <v>Karbamiidi kasutus</v>
      </c>
      <c r="L15" s="532" t="str">
        <f>Tootep_kalk!AZ45</f>
        <v>0</v>
      </c>
      <c r="N15" s="531" t="str">
        <f>Tootep_kalk!BB45</f>
        <v>Karbamiidi kasutus</v>
      </c>
      <c r="O15" s="597" t="str">
        <f>Tootep_kalk!BE45</f>
        <v>0</v>
      </c>
      <c r="P15" s="458"/>
      <c r="Q15" s="531" t="str">
        <f>Tootep_kalk!BG45</f>
        <v>Karbamiidi kasutus</v>
      </c>
      <c r="R15" s="532" t="str">
        <f>Tootep_kalk!BJ45</f>
        <v>0</v>
      </c>
      <c r="T15" s="531" t="str">
        <f>Tootep_kalk!BL45</f>
        <v>Karbamiidi kasutus</v>
      </c>
      <c r="U15" s="503" t="str">
        <f>Tootep_kalk!BO45</f>
        <v>0</v>
      </c>
      <c r="W15" s="531" t="str">
        <f>Tootep_kalk!BQ45</f>
        <v>Karbamiidi kasutus</v>
      </c>
      <c r="X15" s="597" t="str">
        <f>Tootep_kalk!BT45</f>
        <v>0</v>
      </c>
      <c r="Z15" s="531" t="str">
        <f>Tootep_kalk!BV45</f>
        <v>Karbamiidi kasutus</v>
      </c>
      <c r="AA15" s="597" t="str">
        <f>Tootep_kalk!BY45</f>
        <v>0</v>
      </c>
      <c r="AC15" s="531" t="str">
        <f>Tootep_kalk!CA45</f>
        <v>Karbamiidi kasutus</v>
      </c>
      <c r="AD15" s="597" t="str">
        <f>Tootep_kalk!CD45</f>
        <v>0</v>
      </c>
      <c r="AF15" s="531" t="str">
        <f>Tootep_kalk!CF45</f>
        <v>Karbamiidi kasutus</v>
      </c>
      <c r="AG15" s="597" t="str">
        <f>Tootep_kalk!CI45</f>
        <v>0</v>
      </c>
      <c r="AI15" s="531" t="str">
        <f>Tootep_kalk!CK45</f>
        <v>Karbamiidi kasutus</v>
      </c>
      <c r="AJ15" s="870" t="str">
        <f>Tootep_kalk!CN45</f>
        <v>0</v>
      </c>
      <c r="AL15" s="531" t="str">
        <f>Tootep_kalk!CP45</f>
        <v>Karbamiidi kasutus</v>
      </c>
      <c r="AM15" s="870" t="str">
        <f>Tootep_kalk!CS45</f>
        <v>0</v>
      </c>
    </row>
    <row r="16" spans="2:39" ht="17.149999999999999" customHeight="1">
      <c r="B16" s="414" t="str">
        <f>Tootep_kalk!AH46</f>
        <v>Herbitsiidid</v>
      </c>
      <c r="C16" s="529">
        <f>Tootep_kalk!AK46</f>
        <v>0</v>
      </c>
      <c r="E16" s="414" t="str">
        <f>Tootep_kalk!AM46</f>
        <v>Herbitsiidid</v>
      </c>
      <c r="F16" s="596">
        <f>Tootep_kalk!AP46</f>
        <v>0</v>
      </c>
      <c r="H16" s="414" t="str">
        <f>Tootep_kalk!AR46</f>
        <v>Herbitsiidid</v>
      </c>
      <c r="I16" s="596">
        <f>Tootep_kalk!AU46</f>
        <v>0</v>
      </c>
      <c r="K16" s="414" t="str">
        <f>Tootep_kalk!AW46</f>
        <v>Herbitsiidid</v>
      </c>
      <c r="L16" s="529">
        <f>Tootep_kalk!AZ46</f>
        <v>0</v>
      </c>
      <c r="N16" s="414" t="str">
        <f>Tootep_kalk!BB46</f>
        <v>Herbitsiidid</v>
      </c>
      <c r="O16" s="596">
        <f>Tootep_kalk!BE46</f>
        <v>0</v>
      </c>
      <c r="P16" s="458"/>
      <c r="Q16" s="414" t="str">
        <f>Tootep_kalk!BG46</f>
        <v>Herbitsiidid</v>
      </c>
      <c r="R16" s="529">
        <f>Tootep_kalk!BJ46</f>
        <v>0</v>
      </c>
      <c r="T16" s="414" t="str">
        <f>Tootep_kalk!BL46</f>
        <v>Herbitsiidid</v>
      </c>
      <c r="U16" s="415">
        <f>Tootep_kalk!BO46</f>
        <v>0</v>
      </c>
      <c r="W16" s="414" t="str">
        <f>Tootep_kalk!BQ46</f>
        <v>Herbitsiidid</v>
      </c>
      <c r="X16" s="596">
        <f>Tootep_kalk!BT46</f>
        <v>0</v>
      </c>
      <c r="Z16" s="414" t="str">
        <f>Tootep_kalk!BV46</f>
        <v>Herbitsiidid</v>
      </c>
      <c r="AA16" s="596">
        <f>Tootep_kalk!BY46</f>
        <v>0</v>
      </c>
      <c r="AC16" s="414" t="str">
        <f>Tootep_kalk!CA46</f>
        <v>Herbitsiidid</v>
      </c>
      <c r="AD16" s="596">
        <f>Tootep_kalk!CD46</f>
        <v>0</v>
      </c>
      <c r="AF16" s="414" t="str">
        <f>Tootep_kalk!CF46</f>
        <v>Herbitsiidid</v>
      </c>
      <c r="AG16" s="596">
        <f>Tootep_kalk!CI46</f>
        <v>0</v>
      </c>
      <c r="AI16" s="414" t="str">
        <f>Tootep_kalk!CK46</f>
        <v>Herbitsiidid</v>
      </c>
      <c r="AJ16" s="869">
        <f>Tootep_kalk!CN46</f>
        <v>0</v>
      </c>
      <c r="AL16" s="414" t="str">
        <f>Tootep_kalk!CP46</f>
        <v>Herbitsiidid</v>
      </c>
      <c r="AM16" s="869">
        <f>Tootep_kalk!CS46</f>
        <v>0</v>
      </c>
    </row>
    <row r="17" spans="2:39" ht="17.5" customHeight="1">
      <c r="B17" s="531" t="str">
        <f>Tootep_kalk!AH47</f>
        <v>Fungitsiidid</v>
      </c>
      <c r="C17" s="532">
        <f>Tootep_kalk!AK47</f>
        <v>0</v>
      </c>
      <c r="E17" s="531" t="str">
        <f>Tootep_kalk!AM47</f>
        <v>Fungitsiidid</v>
      </c>
      <c r="F17" s="597">
        <f>Tootep_kalk!AP47</f>
        <v>0</v>
      </c>
      <c r="H17" s="531" t="str">
        <f>Tootep_kalk!AR47</f>
        <v>Fungitsiidid</v>
      </c>
      <c r="I17" s="597">
        <f>Tootep_kalk!AU47</f>
        <v>0</v>
      </c>
      <c r="K17" s="531" t="str">
        <f>Tootep_kalk!AW47</f>
        <v>Fungitsiidid</v>
      </c>
      <c r="L17" s="532">
        <f>Tootep_kalk!AZ47</f>
        <v>0</v>
      </c>
      <c r="N17" s="531" t="str">
        <f>Tootep_kalk!BB47</f>
        <v>Fungitsiidid</v>
      </c>
      <c r="O17" s="597">
        <f>Tootep_kalk!BE47</f>
        <v>0</v>
      </c>
      <c r="P17" s="458"/>
      <c r="Q17" s="531" t="str">
        <f>Tootep_kalk!BG47</f>
        <v>Fungitsiidid</v>
      </c>
      <c r="R17" s="532">
        <f>Tootep_kalk!BJ47</f>
        <v>0</v>
      </c>
      <c r="T17" s="531" t="str">
        <f>Tootep_kalk!BL47</f>
        <v>Fungitsiidid</v>
      </c>
      <c r="U17" s="503">
        <f>Tootep_kalk!BO47</f>
        <v>0</v>
      </c>
      <c r="W17" s="531" t="str">
        <f>Tootep_kalk!BQ47</f>
        <v>Fungitsiidid</v>
      </c>
      <c r="X17" s="597">
        <f>Tootep_kalk!BT47</f>
        <v>0</v>
      </c>
      <c r="Z17" s="531" t="str">
        <f>Tootep_kalk!BV47</f>
        <v>Fungitsiidid</v>
      </c>
      <c r="AA17" s="597">
        <f>Tootep_kalk!BY47</f>
        <v>0</v>
      </c>
      <c r="AC17" s="531" t="str">
        <f>Tootep_kalk!CA47</f>
        <v>Fungitsiidid</v>
      </c>
      <c r="AD17" s="597">
        <f>Tootep_kalk!CD47</f>
        <v>0</v>
      </c>
      <c r="AF17" s="531" t="str">
        <f>Tootep_kalk!CF47</f>
        <v>Fungitsiidid</v>
      </c>
      <c r="AG17" s="597">
        <f>Tootep_kalk!CI47</f>
        <v>0</v>
      </c>
      <c r="AI17" s="531" t="str">
        <f>Tootep_kalk!CK47</f>
        <v>Fungitsiidid</v>
      </c>
      <c r="AJ17" s="870">
        <f>Tootep_kalk!CN47</f>
        <v>0</v>
      </c>
      <c r="AL17" s="531" t="str">
        <f>Tootep_kalk!CP47</f>
        <v>Fungitsiidid</v>
      </c>
      <c r="AM17" s="870">
        <f>Tootep_kalk!CS47</f>
        <v>0</v>
      </c>
    </row>
    <row r="18" spans="2:39" ht="14.15" customHeight="1">
      <c r="B18" s="414" t="str">
        <f>Tootep_kalk!AH48</f>
        <v>Insektitsiidid</v>
      </c>
      <c r="C18" s="529">
        <f>Tootep_kalk!AK48</f>
        <v>0</v>
      </c>
      <c r="E18" s="414" t="str">
        <f>Tootep_kalk!AM48</f>
        <v>Insektitsiidid</v>
      </c>
      <c r="F18" s="596">
        <f>Tootep_kalk!AP48</f>
        <v>0</v>
      </c>
      <c r="H18" s="414" t="str">
        <f>Tootep_kalk!AR48</f>
        <v>Insektitsiidid</v>
      </c>
      <c r="I18" s="596">
        <f>Tootep_kalk!AU48</f>
        <v>0</v>
      </c>
      <c r="K18" s="414" t="str">
        <f>Tootep_kalk!AW48</f>
        <v>Insektitsiidid</v>
      </c>
      <c r="L18" s="529">
        <f>Tootep_kalk!AZ48</f>
        <v>0</v>
      </c>
      <c r="N18" s="414" t="str">
        <f>Tootep_kalk!BB48</f>
        <v>Insektitsiidid</v>
      </c>
      <c r="O18" s="596">
        <f>Tootep_kalk!BE48</f>
        <v>0</v>
      </c>
      <c r="P18" s="458"/>
      <c r="Q18" s="414" t="str">
        <f>Tootep_kalk!BG48</f>
        <v>Insektitsiidid</v>
      </c>
      <c r="R18" s="529">
        <f>Tootep_kalk!BJ48</f>
        <v>0</v>
      </c>
      <c r="T18" s="414" t="str">
        <f>Tootep_kalk!BL48</f>
        <v>Insektitsiidid</v>
      </c>
      <c r="U18" s="415">
        <f>Tootep_kalk!BO48</f>
        <v>0</v>
      </c>
      <c r="W18" s="414" t="str">
        <f>Tootep_kalk!BQ48</f>
        <v>Insektitsiidid</v>
      </c>
      <c r="X18" s="596">
        <f>Tootep_kalk!BT48</f>
        <v>0</v>
      </c>
      <c r="Z18" s="414" t="str">
        <f>Tootep_kalk!BV48</f>
        <v>Insektitsiidid</v>
      </c>
      <c r="AA18" s="596">
        <f>Tootep_kalk!BY48</f>
        <v>0</v>
      </c>
      <c r="AC18" s="414" t="str">
        <f>Tootep_kalk!CA48</f>
        <v>Insektitsiidid</v>
      </c>
      <c r="AD18" s="596">
        <f>Tootep_kalk!CD48</f>
        <v>0</v>
      </c>
      <c r="AF18" s="414" t="str">
        <f>Tootep_kalk!CF48</f>
        <v>Insektitsiidid</v>
      </c>
      <c r="AG18" s="596">
        <f>Tootep_kalk!CI48</f>
        <v>0</v>
      </c>
      <c r="AI18" s="414" t="str">
        <f>Tootep_kalk!CK48</f>
        <v>Insektitsiidid</v>
      </c>
      <c r="AJ18" s="869">
        <f>Tootep_kalk!CN48</f>
        <v>0</v>
      </c>
      <c r="AL18" s="414" t="str">
        <f>Tootep_kalk!CP48</f>
        <v>Insektitsiidid</v>
      </c>
      <c r="AM18" s="869">
        <f>Tootep_kalk!CS48</f>
        <v>0</v>
      </c>
    </row>
    <row r="19" spans="2:39" ht="17.5" customHeight="1">
      <c r="B19" s="531" t="str">
        <f>Tootep_kalk!AH49</f>
        <v>Põllutööde kütusekulu</v>
      </c>
      <c r="C19" s="532">
        <f>Tootep_kalk!AK49</f>
        <v>0</v>
      </c>
      <c r="E19" s="531" t="str">
        <f>Tootep_kalk!AM49</f>
        <v>Põllutööde kütusekulu</v>
      </c>
      <c r="F19" s="597">
        <f>Tootep_kalk!AP49</f>
        <v>0</v>
      </c>
      <c r="H19" s="531" t="str">
        <f>Tootep_kalk!AR49</f>
        <v>Põllutööde kütusekulu</v>
      </c>
      <c r="I19" s="597">
        <f>Tootep_kalk!AU49</f>
        <v>0</v>
      </c>
      <c r="K19" s="531" t="str">
        <f>Tootep_kalk!AW49</f>
        <v>Põllutööde kütusekulu</v>
      </c>
      <c r="L19" s="532">
        <f>Tootep_kalk!AZ49</f>
        <v>0</v>
      </c>
      <c r="N19" s="531" t="str">
        <f>Tootep_kalk!BB49</f>
        <v>Põllutööde kütusekulu</v>
      </c>
      <c r="O19" s="597">
        <f>Tootep_kalk!BE49</f>
        <v>0</v>
      </c>
      <c r="P19" s="458"/>
      <c r="Q19" s="531" t="str">
        <f>Tootep_kalk!BG49</f>
        <v>Põllutööde kütusekulu</v>
      </c>
      <c r="R19" s="532">
        <f>Tootep_kalk!BJ49</f>
        <v>0</v>
      </c>
      <c r="T19" s="531" t="str">
        <f>Tootep_kalk!BL49</f>
        <v>Põllutööde kütusekulu</v>
      </c>
      <c r="U19" s="503">
        <f>Tootep_kalk!BO49</f>
        <v>0</v>
      </c>
      <c r="W19" s="531" t="str">
        <f>Tootep_kalk!BQ49</f>
        <v>Põllutööde kütusekulu</v>
      </c>
      <c r="X19" s="597">
        <f>Tootep_kalk!BT49</f>
        <v>0</v>
      </c>
      <c r="Z19" s="531" t="str">
        <f>Tootep_kalk!BV49</f>
        <v>Põllutööde kütusekulu</v>
      </c>
      <c r="AA19" s="597">
        <f>Tootep_kalk!BY49</f>
        <v>0</v>
      </c>
      <c r="AC19" s="531" t="str">
        <f>Tootep_kalk!CA49</f>
        <v>Põllutööde kütusekulu</v>
      </c>
      <c r="AD19" s="597">
        <f>Tootep_kalk!CD49</f>
        <v>0</v>
      </c>
      <c r="AF19" s="531" t="str">
        <f>Tootep_kalk!CF49</f>
        <v>Põllutööde kütusekulu</v>
      </c>
      <c r="AG19" s="597">
        <f>Tootep_kalk!CI49</f>
        <v>0</v>
      </c>
      <c r="AI19" s="531" t="str">
        <f>Tootep_kalk!CK49</f>
        <v>Põllutööde kütusekulu</v>
      </c>
      <c r="AJ19" s="870">
        <f>Tootep_kalk!CN49</f>
        <v>0</v>
      </c>
      <c r="AL19" s="531" t="str">
        <f>Tootep_kalk!CP49</f>
        <v>Põllutööde kütusekulu</v>
      </c>
      <c r="AM19" s="870">
        <f>Tootep_kalk!CS49</f>
        <v>0</v>
      </c>
    </row>
    <row r="20" spans="2:39" ht="27.65" customHeight="1">
      <c r="B20" s="414" t="str">
        <f>Tootep_kalk!AH50</f>
        <v>Soojusenergia</v>
      </c>
      <c r="C20" s="529">
        <f>Tootep_kalk!AK50</f>
        <v>0</v>
      </c>
      <c r="E20" s="414" t="str">
        <f>Tootep_kalk!AM50</f>
        <v>Soojusenergia</v>
      </c>
      <c r="F20" s="596">
        <f>Tootep_kalk!AP50</f>
        <v>0</v>
      </c>
      <c r="H20" s="414" t="str">
        <f>Tootep_kalk!AR50</f>
        <v>Soojusenergia</v>
      </c>
      <c r="I20" s="596">
        <f>Tootep_kalk!AU50</f>
        <v>0</v>
      </c>
      <c r="K20" s="414" t="str">
        <f>Tootep_kalk!AW50</f>
        <v>Soojusenergia</v>
      </c>
      <c r="L20" s="529">
        <f>Tootep_kalk!AZ50</f>
        <v>0</v>
      </c>
      <c r="N20" s="414" t="str">
        <f>Tootep_kalk!BB50</f>
        <v>Soojusenergia</v>
      </c>
      <c r="O20" s="596">
        <f>Tootep_kalk!BE50</f>
        <v>0</v>
      </c>
      <c r="P20" s="458"/>
      <c r="Q20" s="414" t="str">
        <f>Tootep_kalk!BG50</f>
        <v>Soojusenergia</v>
      </c>
      <c r="R20" s="529">
        <f>Tootep_kalk!BJ50</f>
        <v>0</v>
      </c>
      <c r="T20" s="414" t="str">
        <f>Tootep_kalk!BL50</f>
        <v>Soojusenergia</v>
      </c>
      <c r="U20" s="415">
        <f>Tootep_kalk!BO50</f>
        <v>0</v>
      </c>
      <c r="W20" s="414" t="str">
        <f>Tootep_kalk!BQ50</f>
        <v>Soojusenergia</v>
      </c>
      <c r="X20" s="596">
        <f>Tootep_kalk!BT50</f>
        <v>0</v>
      </c>
      <c r="Z20" s="414" t="str">
        <f>Tootep_kalk!BV50</f>
        <v>Soojusenergia</v>
      </c>
      <c r="AA20" s="596">
        <f>Tootep_kalk!BY50</f>
        <v>0</v>
      </c>
      <c r="AC20" s="414" t="str">
        <f>Tootep_kalk!CA50</f>
        <v>Soojusenergia</v>
      </c>
      <c r="AD20" s="596">
        <f>Tootep_kalk!CD50</f>
        <v>0</v>
      </c>
      <c r="AF20" s="414" t="str">
        <f>Tootep_kalk!CF50</f>
        <v>Soojusenergia</v>
      </c>
      <c r="AG20" s="596">
        <f>Tootep_kalk!CI50</f>
        <v>0</v>
      </c>
      <c r="AI20" s="414" t="str">
        <f>Tootep_kalk!CK50</f>
        <v>Soojusenergia</v>
      </c>
      <c r="AJ20" s="869">
        <f>Tootep_kalk!CN50</f>
        <v>0</v>
      </c>
      <c r="AL20" s="414" t="str">
        <f>Tootep_kalk!CP50</f>
        <v>Soojusenergia</v>
      </c>
      <c r="AM20" s="869">
        <f>Tootep_kalk!CS50</f>
        <v>0</v>
      </c>
    </row>
    <row r="21" spans="2:39" ht="18.649999999999999" customHeight="1">
      <c r="B21" s="531" t="str">
        <f>Tootep_kalk!AH51</f>
        <v>Elektrienergia</v>
      </c>
      <c r="C21" s="532" t="str">
        <f>Tootep_kalk!AK51</f>
        <v>0</v>
      </c>
      <c r="E21" s="531" t="str">
        <f>Tootep_kalk!AM51</f>
        <v>Elektrienergia</v>
      </c>
      <c r="F21" s="597" t="str">
        <f>Tootep_kalk!AP51</f>
        <v>0</v>
      </c>
      <c r="H21" s="531" t="str">
        <f>Tootep_kalk!AR51</f>
        <v>Elektrienergia</v>
      </c>
      <c r="I21" s="597" t="str">
        <f>Tootep_kalk!AU51</f>
        <v>0</v>
      </c>
      <c r="K21" s="531" t="str">
        <f>Tootep_kalk!AW51</f>
        <v>Elektrienergia</v>
      </c>
      <c r="L21" s="532" t="str">
        <f>Tootep_kalk!AZ51</f>
        <v>0</v>
      </c>
      <c r="N21" s="531" t="str">
        <f>Tootep_kalk!BB51</f>
        <v>Elektrienergia</v>
      </c>
      <c r="O21" s="597" t="str">
        <f>Tootep_kalk!BE51</f>
        <v>0</v>
      </c>
      <c r="P21" s="458"/>
      <c r="Q21" s="531" t="str">
        <f>Tootep_kalk!BG51</f>
        <v>Elektrienergia</v>
      </c>
      <c r="R21" s="532" t="str">
        <f>Tootep_kalk!BJ51</f>
        <v>0</v>
      </c>
      <c r="T21" s="531" t="str">
        <f>Tootep_kalk!BL51</f>
        <v>Elektrienergia</v>
      </c>
      <c r="U21" s="503" t="str">
        <f>Tootep_kalk!BO51</f>
        <v>0</v>
      </c>
      <c r="W21" s="531" t="str">
        <f>Tootep_kalk!BQ51</f>
        <v>Elektrienergia</v>
      </c>
      <c r="X21" s="597" t="str">
        <f>Tootep_kalk!BT51</f>
        <v>0</v>
      </c>
      <c r="Z21" s="531" t="str">
        <f>Tootep_kalk!BV51</f>
        <v>Elektrienergia</v>
      </c>
      <c r="AA21" s="597" t="str">
        <f>Tootep_kalk!BY51</f>
        <v>0</v>
      </c>
      <c r="AC21" s="531" t="str">
        <f>Tootep_kalk!CA51</f>
        <v>Elektrienergia</v>
      </c>
      <c r="AD21" s="597" t="str">
        <f>Tootep_kalk!CD51</f>
        <v>0</v>
      </c>
      <c r="AF21" s="531" t="str">
        <f>Tootep_kalk!CF51</f>
        <v>Elektrienergia</v>
      </c>
      <c r="AG21" s="597" t="str">
        <f>Tootep_kalk!CI51</f>
        <v>0</v>
      </c>
      <c r="AI21" s="531" t="str">
        <f>Tootep_kalk!CK51</f>
        <v>Elektrienergia</v>
      </c>
      <c r="AJ21" s="870" t="str">
        <f>Tootep_kalk!CN51</f>
        <v>0</v>
      </c>
      <c r="AL21" s="531" t="str">
        <f>Tootep_kalk!CP51</f>
        <v>Elektrienergia</v>
      </c>
      <c r="AM21" s="870" t="str">
        <f>Tootep_kalk!CS51</f>
        <v>0</v>
      </c>
    </row>
    <row r="22" spans="2:39" ht="27" customHeight="1">
      <c r="B22" s="530" t="str">
        <f>Tootep_kalk!AH52</f>
        <v>Kütuste ja energia tootmisega seotud kaudsed mõjud</v>
      </c>
      <c r="C22" s="529">
        <f>Tootep_kalk!AK52</f>
        <v>0</v>
      </c>
      <c r="E22" s="530" t="str">
        <f>Tootep_kalk!AM52</f>
        <v>Kütuste ja energia tootmisega seotud kaudsed mõjud</v>
      </c>
      <c r="F22" s="596">
        <f>Tootep_kalk!AP52</f>
        <v>0</v>
      </c>
      <c r="H22" s="595" t="str">
        <f>Tootep_kalk!AR52</f>
        <v>Kütuste ja energia tootmisega seotud kaudsed mõjud</v>
      </c>
      <c r="I22" s="596">
        <f>Tootep_kalk!AU52</f>
        <v>0</v>
      </c>
      <c r="K22" s="530" t="str">
        <f>Tootep_kalk!AW52</f>
        <v>Kütuste ja energia tootmisega seotud kaudsed mõjud</v>
      </c>
      <c r="L22" s="529">
        <f>Tootep_kalk!AZ52</f>
        <v>0</v>
      </c>
      <c r="N22" s="595" t="str">
        <f>Tootep_kalk!BB52</f>
        <v>Kütuste ja energia tootmisega seotud kaudsed mõjud</v>
      </c>
      <c r="O22" s="596">
        <f>Tootep_kalk!BE52</f>
        <v>0</v>
      </c>
      <c r="P22" s="458"/>
      <c r="Q22" s="595" t="str">
        <f>Tootep_kalk!BG52</f>
        <v>Kütuste ja energia tootmisega seotud kaudsed mõjud</v>
      </c>
      <c r="R22" s="529">
        <f>Tootep_kalk!BJ52</f>
        <v>0</v>
      </c>
      <c r="T22" s="530" t="str">
        <f>Tootep_kalk!BL52</f>
        <v>Kütuste ja energia tootmisega seotud kaudsed mõjud</v>
      </c>
      <c r="U22" s="415">
        <f>Tootep_kalk!BO52</f>
        <v>0</v>
      </c>
      <c r="W22" s="595" t="str">
        <f>Tootep_kalk!BQ52</f>
        <v>Kütuste ja energia tootmisega seotud kaudsed mõjud</v>
      </c>
      <c r="X22" s="596">
        <f>Tootep_kalk!BT52</f>
        <v>0</v>
      </c>
      <c r="Z22" s="595" t="str">
        <f>Tootep_kalk!BV52</f>
        <v>Kütuste ja energia tootmisega seotud kaudsed mõjud</v>
      </c>
      <c r="AA22" s="596">
        <f>Tootep_kalk!BY52</f>
        <v>0</v>
      </c>
      <c r="AC22" s="595" t="str">
        <f>Tootep_kalk!CA52</f>
        <v>Kütuste ja energia tootmisega seotud kaudsed mõjud</v>
      </c>
      <c r="AD22" s="596">
        <f>Tootep_kalk!CD52</f>
        <v>0</v>
      </c>
      <c r="AF22" s="595" t="str">
        <f>Tootep_kalk!CF52</f>
        <v>Kütuste ja energia tootmisega seotud kaudsed mõjud</v>
      </c>
      <c r="AG22" s="596">
        <f>Tootep_kalk!CI52</f>
        <v>0</v>
      </c>
      <c r="AI22" s="595" t="str">
        <f>Tootep_kalk!CK52</f>
        <v>Kütuste ja energia tootmisega seotud kaudsed mõjud</v>
      </c>
      <c r="AJ22" s="869">
        <f>Tootep_kalk!CN52</f>
        <v>0</v>
      </c>
      <c r="AL22" s="595" t="str">
        <f>Tootep_kalk!CP52</f>
        <v>Kütuste ja energia tootmisega seotud kaudsed mõjud</v>
      </c>
      <c r="AM22" s="869">
        <f>Tootep_kalk!CS52</f>
        <v>0</v>
      </c>
    </row>
    <row r="23" spans="2:39" ht="23.15" customHeight="1">
      <c r="B23" s="531" t="str">
        <f>Tootep_kalk!AH53</f>
        <v>Jäätmekäitlus</v>
      </c>
      <c r="C23" s="532" t="str">
        <f>Tootep_kalk!AK53</f>
        <v>0</v>
      </c>
      <c r="E23" s="531" t="str">
        <f>Tootep_kalk!AM53</f>
        <v>Jäätmekäitlus</v>
      </c>
      <c r="F23" s="597" t="str">
        <f>Tootep_kalk!AP53</f>
        <v>0</v>
      </c>
      <c r="H23" s="531" t="str">
        <f>Tootep_kalk!AR53</f>
        <v>Jäätmekäitlus</v>
      </c>
      <c r="I23" s="597" t="str">
        <f>Tootep_kalk!AU53</f>
        <v>0</v>
      </c>
      <c r="K23" s="531" t="str">
        <f>Tootep_kalk!AW53</f>
        <v>Jäätmekäitlus</v>
      </c>
      <c r="L23" s="532" t="str">
        <f>Tootep_kalk!AZ53</f>
        <v>0</v>
      </c>
      <c r="N23" s="531" t="str">
        <f>Tootep_kalk!BB53</f>
        <v>Jäätmekäitlus</v>
      </c>
      <c r="O23" s="597" t="str">
        <f>Tootep_kalk!BE53</f>
        <v>0</v>
      </c>
      <c r="P23" s="458"/>
      <c r="Q23" s="531" t="str">
        <f>Tootep_kalk!BG53</f>
        <v>Jäätmekäitlus</v>
      </c>
      <c r="R23" s="532" t="str">
        <f>Tootep_kalk!BJ53</f>
        <v>0</v>
      </c>
      <c r="T23" s="531" t="str">
        <f>Tootep_kalk!BL53</f>
        <v>Jäätmekäitlus</v>
      </c>
      <c r="U23" s="503" t="str">
        <f>Tootep_kalk!BO53</f>
        <v>0</v>
      </c>
      <c r="W23" s="531" t="str">
        <f>Tootep_kalk!BQ53</f>
        <v>Jäätmekäitlus</v>
      </c>
      <c r="X23" s="597" t="str">
        <f>Tootep_kalk!BT53</f>
        <v>0</v>
      </c>
      <c r="Z23" s="531" t="str">
        <f>Tootep_kalk!BV53</f>
        <v>Jäätmekäitlus</v>
      </c>
      <c r="AA23" s="597" t="str">
        <f>Tootep_kalk!BY53</f>
        <v>0</v>
      </c>
      <c r="AC23" s="531" t="str">
        <f>Tootep_kalk!CA53</f>
        <v>Jäätmekäitlus</v>
      </c>
      <c r="AD23" s="597" t="str">
        <f>Tootep_kalk!CD53</f>
        <v>0</v>
      </c>
      <c r="AF23" s="531" t="str">
        <f>Tootep_kalk!CF53</f>
        <v>Jäätmekäitlus</v>
      </c>
      <c r="AG23" s="597" t="str">
        <f>Tootep_kalk!CI53</f>
        <v>0</v>
      </c>
      <c r="AI23" s="531" t="str">
        <f>Tootep_kalk!CK53</f>
        <v>Jäätmekäitlus</v>
      </c>
      <c r="AJ23" s="870" t="str">
        <f>Tootep_kalk!CN53</f>
        <v>0</v>
      </c>
      <c r="AL23" s="531" t="str">
        <f>Tootep_kalk!CP53</f>
        <v>Jäätmekäitlus</v>
      </c>
      <c r="AM23" s="870" t="str">
        <f>Tootep_kalk!CS53</f>
        <v>0</v>
      </c>
    </row>
    <row r="24" spans="2:39">
      <c r="B24" s="414" t="str">
        <f>Tootep_kalk!AH54</f>
        <v>Süsiniku sidumine</v>
      </c>
      <c r="C24" s="529">
        <f>Tootep_kalk!AK54</f>
        <v>0</v>
      </c>
      <c r="E24" s="414" t="str">
        <f>Tootep_kalk!AM54</f>
        <v>Süsiniku sidumine</v>
      </c>
      <c r="F24" s="596">
        <f>Tootep_kalk!AP54</f>
        <v>0</v>
      </c>
      <c r="H24" s="414" t="str">
        <f>Tootep_kalk!AR54</f>
        <v>Süsiniku sidumine</v>
      </c>
      <c r="I24" s="596">
        <f>Tootep_kalk!AU54</f>
        <v>0</v>
      </c>
      <c r="K24" s="414" t="str">
        <f>Tootep_kalk!AW54</f>
        <v>Süsiniku sidumine</v>
      </c>
      <c r="L24" s="529">
        <f>Tootep_kalk!AZ54</f>
        <v>0</v>
      </c>
      <c r="N24" s="414" t="str">
        <f>Tootep_kalk!BB54</f>
        <v>Süsiniku sidumine</v>
      </c>
      <c r="O24" s="596">
        <f>Tootep_kalk!BE54</f>
        <v>0</v>
      </c>
      <c r="P24" s="458"/>
      <c r="Q24" s="414" t="str">
        <f>Tootep_kalk!BG54</f>
        <v>Süsiniku sidumine</v>
      </c>
      <c r="R24" s="529">
        <f>Tootep_kalk!BJ54</f>
        <v>0</v>
      </c>
      <c r="T24" s="414" t="str">
        <f>Tootep_kalk!BL54</f>
        <v>Süsiniku sidumine</v>
      </c>
      <c r="U24" s="529">
        <f>Tootep_kalk!BO54</f>
        <v>0</v>
      </c>
      <c r="W24" s="414" t="str">
        <f>Tootep_kalk!BQ54</f>
        <v>Süsiniku sidumine</v>
      </c>
      <c r="X24" s="596">
        <f>Tootep_kalk!BT54</f>
        <v>0</v>
      </c>
      <c r="Z24" s="414" t="str">
        <f>Tootep_kalk!BV54</f>
        <v>Süsiniku sidumine</v>
      </c>
      <c r="AA24" s="596">
        <f>Tootep_kalk!BY54</f>
        <v>0</v>
      </c>
      <c r="AC24" s="414" t="str">
        <f>Tootep_kalk!CA54</f>
        <v>Süsiniku sidumine</v>
      </c>
      <c r="AD24" s="596">
        <f>Tootep_kalk!CD54</f>
        <v>0</v>
      </c>
      <c r="AF24" s="414" t="str">
        <f>Tootep_kalk!CF54</f>
        <v>Süsiniku sidumine</v>
      </c>
      <c r="AG24" s="596">
        <f>Tootep_kalk!CI54</f>
        <v>0</v>
      </c>
      <c r="AI24" s="414" t="str">
        <f>Tootep_kalk!CK54</f>
        <v>Süsiniku sidumine</v>
      </c>
      <c r="AJ24" s="869">
        <f>Tootep_kalk!CN54</f>
        <v>0</v>
      </c>
      <c r="AL24" s="414" t="str">
        <f>Tootep_kalk!CP54</f>
        <v>Süsiniku sidumine</v>
      </c>
      <c r="AM24" s="869">
        <f>Tootep_kalk!CS54</f>
        <v>0</v>
      </c>
    </row>
    <row r="25" spans="2:39" ht="15" thickBot="1">
      <c r="B25" s="414"/>
      <c r="C25" s="415"/>
      <c r="E25" s="531"/>
      <c r="F25" s="598"/>
      <c r="H25" s="531"/>
      <c r="I25" s="598"/>
      <c r="K25" s="531"/>
      <c r="L25" s="503"/>
      <c r="N25" s="531"/>
      <c r="O25" s="598"/>
      <c r="Q25" s="531"/>
      <c r="R25" s="503"/>
      <c r="T25" s="531"/>
      <c r="U25" s="503"/>
      <c r="W25" s="531"/>
      <c r="X25" s="598"/>
      <c r="Z25" s="531"/>
      <c r="AA25" s="598"/>
      <c r="AC25" s="531"/>
      <c r="AD25" s="598"/>
      <c r="AF25" s="531"/>
      <c r="AG25" s="598"/>
      <c r="AI25" s="531"/>
      <c r="AJ25" s="868"/>
      <c r="AL25" s="531"/>
      <c r="AM25" s="870"/>
    </row>
    <row r="26" spans="2:39" ht="15" thickBot="1">
      <c r="B26" s="463" t="s">
        <v>15</v>
      </c>
      <c r="C26" s="464">
        <f>SUM(C6:C24)</f>
        <v>0</v>
      </c>
      <c r="E26" s="463" t="s">
        <v>15</v>
      </c>
      <c r="F26" s="599">
        <f>SUM(F6:F24)</f>
        <v>0</v>
      </c>
      <c r="H26" s="463" t="s">
        <v>15</v>
      </c>
      <c r="I26" s="599">
        <f>SUM(I6:I24)</f>
        <v>0</v>
      </c>
      <c r="K26" s="463" t="s">
        <v>15</v>
      </c>
      <c r="L26" s="464">
        <f>SUM(L6:L24)</f>
        <v>0</v>
      </c>
      <c r="N26" s="463" t="s">
        <v>15</v>
      </c>
      <c r="O26" s="599">
        <f>SUM(O6:O24)</f>
        <v>0</v>
      </c>
      <c r="Q26" s="463" t="s">
        <v>15</v>
      </c>
      <c r="R26" s="464">
        <f>SUM(R6:R24)</f>
        <v>0</v>
      </c>
      <c r="T26" s="463" t="s">
        <v>15</v>
      </c>
      <c r="U26" s="464">
        <f>SUM(U6:U24)</f>
        <v>0</v>
      </c>
      <c r="W26" s="463" t="s">
        <v>15</v>
      </c>
      <c r="X26" s="599">
        <f>SUM(X6:X24)</f>
        <v>0</v>
      </c>
      <c r="Z26" s="463" t="s">
        <v>15</v>
      </c>
      <c r="AA26" s="599">
        <f>SUM(AA6:AA24)</f>
        <v>0</v>
      </c>
      <c r="AC26" s="463" t="s">
        <v>15</v>
      </c>
      <c r="AD26" s="599">
        <f>SUM(AD6:AD24)</f>
        <v>0</v>
      </c>
      <c r="AF26" s="463" t="s">
        <v>15</v>
      </c>
      <c r="AG26" s="599">
        <f>SUM(AG6:AG24)</f>
        <v>0</v>
      </c>
      <c r="AI26" s="463" t="s">
        <v>15</v>
      </c>
      <c r="AJ26" s="599">
        <f>SUM(AJ6:AJ24)</f>
        <v>0</v>
      </c>
      <c r="AL26" s="463" t="s">
        <v>15</v>
      </c>
      <c r="AM26" s="599">
        <f>SUM(AM6:AM24)</f>
        <v>0</v>
      </c>
    </row>
    <row r="29" spans="2:39" ht="23.5">
      <c r="B29" s="461" t="s">
        <v>184</v>
      </c>
    </row>
    <row r="30" spans="2:39" ht="15" thickBot="1"/>
    <row r="31" spans="2:39" ht="16" thickBot="1">
      <c r="B31" s="926" t="s">
        <v>498</v>
      </c>
      <c r="C31" s="927"/>
      <c r="E31" s="926" t="s">
        <v>499</v>
      </c>
      <c r="F31" s="927"/>
      <c r="H31" s="1177" t="s">
        <v>180</v>
      </c>
      <c r="I31" s="1178"/>
      <c r="K31" s="1179" t="s">
        <v>500</v>
      </c>
      <c r="L31" s="1180"/>
      <c r="N31" s="1177" t="s">
        <v>179</v>
      </c>
      <c r="O31" s="1178"/>
      <c r="Q31" s="1177" t="s">
        <v>181</v>
      </c>
      <c r="R31" s="1178"/>
      <c r="T31" s="1177" t="s">
        <v>182</v>
      </c>
      <c r="U31" s="1178"/>
      <c r="W31" s="1177" t="s">
        <v>183</v>
      </c>
      <c r="X31" s="1178"/>
    </row>
    <row r="32" spans="2:39" ht="36.5">
      <c r="B32" s="533" t="str">
        <f>Tootep_kalk!AA78</f>
        <v>Emissiooniallikas</v>
      </c>
      <c r="C32" s="594" t="s">
        <v>501</v>
      </c>
      <c r="E32" s="533" t="str">
        <f>Tootep_kalk!AG78</f>
        <v>Emissiooniallikas</v>
      </c>
      <c r="F32" s="534" t="s">
        <v>502</v>
      </c>
      <c r="H32" s="533" t="str">
        <f>Tootep_kalk!K78</f>
        <v>Emissiooniallikas</v>
      </c>
      <c r="I32" s="534" t="s">
        <v>503</v>
      </c>
      <c r="K32" s="533" t="str">
        <f>Tootep_kalk!A78</f>
        <v>Emissiooniallikas</v>
      </c>
      <c r="L32" s="534" t="s">
        <v>504</v>
      </c>
      <c r="N32" s="533" t="str">
        <f>Tootep_kalk!F78</f>
        <v>Emissiooniallikas</v>
      </c>
      <c r="O32" s="534" t="s">
        <v>505</v>
      </c>
      <c r="Q32" s="533" t="str">
        <f>Tootep_kalk!AL78</f>
        <v>Emissiooniallikas</v>
      </c>
      <c r="R32" s="534" t="s">
        <v>506</v>
      </c>
      <c r="T32" s="533" t="str">
        <f>Tootep_kalk!P78</f>
        <v>Emissiooniallikas</v>
      </c>
      <c r="U32" s="534" t="s">
        <v>507</v>
      </c>
      <c r="W32" s="533" t="str">
        <f>Tootep_kalk!U78</f>
        <v>Emissiooniallikas</v>
      </c>
      <c r="X32" s="534" t="s">
        <v>508</v>
      </c>
    </row>
    <row r="33" spans="2:24">
      <c r="B33" s="414" t="str">
        <f>Tootep_kalk!AA79</f>
        <v>Soojusenergia</v>
      </c>
      <c r="C33" s="415">
        <f>Tootep_kalk!AC79</f>
        <v>0</v>
      </c>
      <c r="E33" s="414" t="str">
        <f>Tootep_kalk!AG79</f>
        <v>Soojusenergia</v>
      </c>
      <c r="F33" s="415">
        <f>Tootep_kalk!AI79</f>
        <v>0</v>
      </c>
      <c r="H33" s="414" t="str">
        <f>Tootep_kalk!K79</f>
        <v>Soojusenergia</v>
      </c>
      <c r="I33" s="415">
        <f>Tootep_kalk!M79</f>
        <v>0</v>
      </c>
      <c r="K33" s="414" t="str">
        <f>Tootep_kalk!A79</f>
        <v>Soojusenergia</v>
      </c>
      <c r="L33" s="415">
        <f>Tootep_kalk!C79</f>
        <v>0</v>
      </c>
      <c r="N33" s="414" t="str">
        <f>Tootep_kalk!F79</f>
        <v>Soojusenergia</v>
      </c>
      <c r="O33" s="415">
        <f>Tootep_kalk!H79</f>
        <v>0</v>
      </c>
      <c r="Q33" s="414" t="str">
        <f>Tootep_kalk!AL79</f>
        <v>Soojusenergia</v>
      </c>
      <c r="R33" s="415">
        <f>Tootep_kalk!AN79</f>
        <v>0</v>
      </c>
      <c r="T33" s="414" t="str">
        <f>Tootep_kalk!P79</f>
        <v>Soojusenergia</v>
      </c>
      <c r="U33" s="415">
        <f>Tootep_kalk!R79</f>
        <v>0</v>
      </c>
      <c r="W33" s="414" t="str">
        <f>Tootep_kalk!U79</f>
        <v>Soojusenergia</v>
      </c>
      <c r="X33" s="415">
        <f>Tootep_kalk!W79</f>
        <v>0</v>
      </c>
    </row>
    <row r="34" spans="2:24">
      <c r="B34" s="531" t="str">
        <f>Tootep_kalk!AA80</f>
        <v>Loomakasvatushoone kaudne N2O</v>
      </c>
      <c r="C34" s="503">
        <f>Tootep_kalk!AC80</f>
        <v>0</v>
      </c>
      <c r="E34" s="531" t="str">
        <f>Tootep_kalk!AG80</f>
        <v>Loomakasvatushoone kaudne N2O</v>
      </c>
      <c r="F34" s="503">
        <f>Tootep_kalk!AI80</f>
        <v>0</v>
      </c>
      <c r="H34" s="531" t="str">
        <f>Tootep_kalk!K80</f>
        <v>Loomakasvatushoone kaudne N2O</v>
      </c>
      <c r="I34" s="503">
        <f>Tootep_kalk!M80</f>
        <v>0</v>
      </c>
      <c r="K34" s="531" t="str">
        <f>Tootep_kalk!A80</f>
        <v>Loomakasvatushoone kaudne N2O</v>
      </c>
      <c r="L34" s="503">
        <f>Tootep_kalk!C80</f>
        <v>0</v>
      </c>
      <c r="N34" s="531" t="str">
        <f>Tootep_kalk!F80</f>
        <v>Loomakasvatushoone kaudne N2O</v>
      </c>
      <c r="O34" s="503">
        <f>Tootep_kalk!H80</f>
        <v>0</v>
      </c>
      <c r="Q34" s="531" t="str">
        <f>Tootep_kalk!AL80</f>
        <v>Sõnnikuhoidla otsene N2O</v>
      </c>
      <c r="R34" s="503">
        <f>Tootep_kalk!AN80</f>
        <v>0</v>
      </c>
      <c r="T34" s="531" t="str">
        <f>Tootep_kalk!P80</f>
        <v>Sõnnikuhoidla otsene N2O</v>
      </c>
      <c r="U34" s="503">
        <f>Tootep_kalk!R80</f>
        <v>0</v>
      </c>
      <c r="W34" s="531" t="str">
        <f>Tootep_kalk!U80</f>
        <v>Sõnnikuhoidla otsene N2O</v>
      </c>
      <c r="X34" s="503">
        <f>Tootep_kalk!W80</f>
        <v>0</v>
      </c>
    </row>
    <row r="35" spans="2:24">
      <c r="B35" s="414" t="str">
        <f>Tootep_kalk!AA81</f>
        <v>Sõnnikuhoidla otsene N2O</v>
      </c>
      <c r="C35" s="415">
        <f>Tootep_kalk!AC81</f>
        <v>0</v>
      </c>
      <c r="E35" s="414" t="str">
        <f>Tootep_kalk!AG81</f>
        <v>Sõnnikuhoidla otsene N2O</v>
      </c>
      <c r="F35" s="415">
        <f>Tootep_kalk!AI81</f>
        <v>0</v>
      </c>
      <c r="H35" s="414" t="str">
        <f>Tootep_kalk!K81</f>
        <v>Sõnnikuhoidla otsene N2O</v>
      </c>
      <c r="I35" s="415">
        <f>Tootep_kalk!M81</f>
        <v>0</v>
      </c>
      <c r="K35" s="414" t="str">
        <f>Tootep_kalk!A81</f>
        <v>Sõnnikuhoidla otsene N2O</v>
      </c>
      <c r="L35" s="415">
        <f>Tootep_kalk!C81</f>
        <v>0</v>
      </c>
      <c r="N35" s="414" t="str">
        <f>Tootep_kalk!F81</f>
        <v>Sõnnikuhoidla otsene N2O</v>
      </c>
      <c r="O35" s="415">
        <f>Tootep_kalk!H81</f>
        <v>0</v>
      </c>
      <c r="Q35" s="414" t="str">
        <f>Tootep_kalk!AL81</f>
        <v>Sõnnikuhoidla kaudne N2O</v>
      </c>
      <c r="R35" s="415">
        <f>Tootep_kalk!AN81</f>
        <v>0</v>
      </c>
      <c r="T35" s="414" t="str">
        <f>Tootep_kalk!P81</f>
        <v>Sõnnikuhoidla kaudne N2O</v>
      </c>
      <c r="U35" s="415">
        <f>Tootep_kalk!R81</f>
        <v>0</v>
      </c>
      <c r="W35" s="414" t="str">
        <f>Tootep_kalk!U81</f>
        <v>Sõnnikuhoidla kaudne N2O</v>
      </c>
      <c r="X35" s="415">
        <f>Tootep_kalk!W81</f>
        <v>0</v>
      </c>
    </row>
    <row r="36" spans="2:24">
      <c r="B36" s="531" t="str">
        <f>Tootep_kalk!AA82</f>
        <v>Sõnnikuhoidla kaudne N2O</v>
      </c>
      <c r="C36" s="503">
        <f>Tootep_kalk!AC82</f>
        <v>0</v>
      </c>
      <c r="E36" s="531" t="str">
        <f>Tootep_kalk!AG82</f>
        <v>Sõnnikuhoidla kaudne N2O</v>
      </c>
      <c r="F36" s="503">
        <f>Tootep_kalk!AI82</f>
        <v>0</v>
      </c>
      <c r="H36" s="531" t="str">
        <f>Tootep_kalk!K82</f>
        <v>Sõnnikuhoidla kaudne N2O</v>
      </c>
      <c r="I36" s="503">
        <f>Tootep_kalk!M82</f>
        <v>0</v>
      </c>
      <c r="K36" s="531" t="str">
        <f>Tootep_kalk!A82</f>
        <v>Sõnnikuhoidla kaudne N2O</v>
      </c>
      <c r="L36" s="503">
        <f>Tootep_kalk!C82</f>
        <v>0</v>
      </c>
      <c r="N36" s="531" t="str">
        <f>Tootep_kalk!F82</f>
        <v>Sõnnikuhoidla kaudne N2O</v>
      </c>
      <c r="O36" s="503">
        <f>Tootep_kalk!H82</f>
        <v>0</v>
      </c>
      <c r="Q36" s="531" t="str">
        <f>Tootep_kalk!AL82</f>
        <v>Sõnnikuhoidla CH4</v>
      </c>
      <c r="R36" s="503">
        <f>Tootep_kalk!AN82</f>
        <v>0</v>
      </c>
      <c r="T36" s="531" t="str">
        <f>Tootep_kalk!P82</f>
        <v>Sõnnikuhoidla CH4</v>
      </c>
      <c r="U36" s="503">
        <f>Tootep_kalk!R82</f>
        <v>0</v>
      </c>
      <c r="W36" s="531" t="str">
        <f>Tootep_kalk!U82</f>
        <v>Sõnnikuhoidla CH4</v>
      </c>
      <c r="X36" s="503">
        <f>Tootep_kalk!W82</f>
        <v>0</v>
      </c>
    </row>
    <row r="37" spans="2:24">
      <c r="B37" s="414" t="str">
        <f>Tootep_kalk!AA83</f>
        <v>Sõnnikuhoidla CH4</v>
      </c>
      <c r="C37" s="415">
        <f>Tootep_kalk!AC83</f>
        <v>0</v>
      </c>
      <c r="E37" s="414" t="str">
        <f>Tootep_kalk!AG83</f>
        <v>Sõnnikuhoidla CH4</v>
      </c>
      <c r="F37" s="415">
        <f>Tootep_kalk!AI83</f>
        <v>0</v>
      </c>
      <c r="H37" s="414" t="str">
        <f>Tootep_kalk!K83</f>
        <v>Sõnnikuhoidla CH4</v>
      </c>
      <c r="I37" s="415">
        <f>Tootep_kalk!M83</f>
        <v>0</v>
      </c>
      <c r="K37" s="414" t="str">
        <f>Tootep_kalk!A83</f>
        <v>Sõnnikuhoidla CH4</v>
      </c>
      <c r="L37" s="415">
        <f>Tootep_kalk!C83</f>
        <v>0</v>
      </c>
      <c r="N37" s="414" t="str">
        <f>Tootep_kalk!F83</f>
        <v>Sõnnikuhoidla CH4</v>
      </c>
      <c r="O37" s="415">
        <f>Tootep_kalk!H83</f>
        <v>0</v>
      </c>
      <c r="Q37" s="414" t="str">
        <f>Tootep_kalk!AL83</f>
        <v>Loomade seedemetaan</v>
      </c>
      <c r="R37" s="415">
        <f>Tootep_kalk!AN83</f>
        <v>0</v>
      </c>
      <c r="T37" s="414" t="str">
        <f>Tootep_kalk!P83</f>
        <v>Vabapidamine</v>
      </c>
      <c r="U37" s="415">
        <f>Tootep_kalk!R83</f>
        <v>0</v>
      </c>
      <c r="W37" s="414" t="str">
        <f>Tootep_kalk!U83</f>
        <v>Vabapidamine</v>
      </c>
      <c r="X37" s="415">
        <f>Tootep_kalk!W83</f>
        <v>0</v>
      </c>
    </row>
    <row r="38" spans="2:24">
      <c r="B38" s="531" t="str">
        <f>Tootep_kalk!AA84</f>
        <v>Loomade seedemetaan</v>
      </c>
      <c r="C38" s="503">
        <f>Tootep_kalk!AC84</f>
        <v>0</v>
      </c>
      <c r="E38" s="531" t="str">
        <f>Tootep_kalk!AG84</f>
        <v>Loomade seedemetaan</v>
      </c>
      <c r="F38" s="503">
        <f>Tootep_kalk!AI84</f>
        <v>0</v>
      </c>
      <c r="H38" s="531" t="str">
        <f>Tootep_kalk!K84</f>
        <v>Loomade seedemetaan</v>
      </c>
      <c r="I38" s="503">
        <f>Tootep_kalk!M84</f>
        <v>0</v>
      </c>
      <c r="K38" s="531" t="str">
        <f>Tootep_kalk!A84</f>
        <v>Vabapidamine</v>
      </c>
      <c r="L38" s="503">
        <f>Tootep_kalk!C84</f>
        <v>0</v>
      </c>
      <c r="N38" s="531" t="str">
        <f>Tootep_kalk!F84</f>
        <v>Vabapidamine</v>
      </c>
      <c r="O38" s="503">
        <f>Tootep_kalk!H84</f>
        <v>0</v>
      </c>
      <c r="Q38" s="531" t="str">
        <f>Tootep_kalk!AL84</f>
        <v>Karjatamine</v>
      </c>
      <c r="R38" s="503">
        <f>Tootep_kalk!AN84</f>
        <v>0</v>
      </c>
      <c r="T38" s="531" t="str">
        <f>Tootep_kalk!P84</f>
        <v>Sõidukite ja masinate kütused</v>
      </c>
      <c r="U38" s="503">
        <f>Tootep_kalk!R84</f>
        <v>0</v>
      </c>
      <c r="W38" s="531" t="str">
        <f>Tootep_kalk!U84</f>
        <v>Sõidukite ja masinate kütused</v>
      </c>
      <c r="X38" s="503">
        <f>Tootep_kalk!W84</f>
        <v>0</v>
      </c>
    </row>
    <row r="39" spans="2:24">
      <c r="B39" s="414" t="str">
        <f>Tootep_kalk!AA85</f>
        <v>Karjatamine</v>
      </c>
      <c r="C39" s="415">
        <f>Tootep_kalk!AC85</f>
        <v>0</v>
      </c>
      <c r="E39" s="414" t="str">
        <f>Tootep_kalk!AG85</f>
        <v>Karjatamine</v>
      </c>
      <c r="F39" s="415">
        <f>Tootep_kalk!AI85</f>
        <v>0</v>
      </c>
      <c r="H39" s="414" t="str">
        <f>Tootep_kalk!K85</f>
        <v>Karjatamine</v>
      </c>
      <c r="I39" s="415">
        <f>Tootep_kalk!M85</f>
        <v>0</v>
      </c>
      <c r="K39" s="414" t="str">
        <f>Tootep_kalk!A85</f>
        <v>Sõidukite ja masinate kütused</v>
      </c>
      <c r="L39" s="415">
        <f>Tootep_kalk!C85</f>
        <v>0</v>
      </c>
      <c r="N39" s="414" t="str">
        <f>Tootep_kalk!F85</f>
        <v>Sõidukite ja masinate kütused</v>
      </c>
      <c r="O39" s="415">
        <f>Tootep_kalk!H85</f>
        <v>0</v>
      </c>
      <c r="Q39" s="414" t="str">
        <f>Tootep_kalk!AL85</f>
        <v>Sõidukite ja masinate kütused</v>
      </c>
      <c r="R39" s="415">
        <f>Tootep_kalk!AN85</f>
        <v>0</v>
      </c>
      <c r="T39" s="414" t="str">
        <f>Tootep_kalk!P85</f>
        <v>Elektrienergia</v>
      </c>
      <c r="U39" s="415">
        <f>Tootep_kalk!R85</f>
        <v>0</v>
      </c>
      <c r="W39" s="414" t="str">
        <f>Tootep_kalk!U85</f>
        <v>Elektrienergia</v>
      </c>
      <c r="X39" s="415">
        <f>Tootep_kalk!W85</f>
        <v>0</v>
      </c>
    </row>
    <row r="40" spans="2:24">
      <c r="B40" s="531" t="str">
        <f>Tootep_kalk!AA86</f>
        <v>Sõidukite ja masinate kütused</v>
      </c>
      <c r="C40" s="503">
        <f>Tootep_kalk!AC86</f>
        <v>0</v>
      </c>
      <c r="E40" s="531" t="str">
        <f>Tootep_kalk!AG86</f>
        <v>Sõidukite ja masinate kütused</v>
      </c>
      <c r="F40" s="503">
        <f>Tootep_kalk!AI86</f>
        <v>0</v>
      </c>
      <c r="H40" s="531" t="str">
        <f>Tootep_kalk!K86</f>
        <v>Sõidukite ja masinate kütused</v>
      </c>
      <c r="I40" s="503">
        <f>Tootep_kalk!M86</f>
        <v>0</v>
      </c>
      <c r="K40" s="531" t="str">
        <f>Tootep_kalk!A86</f>
        <v>Elektrienergia</v>
      </c>
      <c r="L40" s="503">
        <f>Tootep_kalk!C86</f>
        <v>0</v>
      </c>
      <c r="N40" s="531" t="str">
        <f>Tootep_kalk!F86</f>
        <v>Elektrienergia</v>
      </c>
      <c r="O40" s="503">
        <f>Tootep_kalk!H86</f>
        <v>0</v>
      </c>
      <c r="Q40" s="531" t="str">
        <f>Tootep_kalk!AL86</f>
        <v>Elektrienergia</v>
      </c>
      <c r="R40" s="503">
        <f>Tootep_kalk!AN86</f>
        <v>0</v>
      </c>
      <c r="T40" s="531" t="str">
        <f>Tootep_kalk!P86</f>
        <v>Sisseostetud sööt</v>
      </c>
      <c r="U40" s="503">
        <f>Tootep_kalk!R86</f>
        <v>0</v>
      </c>
      <c r="W40" s="531" t="str">
        <f>Tootep_kalk!U86</f>
        <v>Sisseostetud sööt</v>
      </c>
      <c r="X40" s="503">
        <f>Tootep_kalk!W86</f>
        <v>0</v>
      </c>
    </row>
    <row r="41" spans="2:24">
      <c r="B41" s="414" t="str">
        <f>Tootep_kalk!AA87</f>
        <v>Elektrienergia</v>
      </c>
      <c r="C41" s="415">
        <f>Tootep_kalk!AC87</f>
        <v>0</v>
      </c>
      <c r="E41" s="414" t="str">
        <f>Tootep_kalk!AG87</f>
        <v>Elektrienergia</v>
      </c>
      <c r="F41" s="415">
        <f>Tootep_kalk!AI87</f>
        <v>0</v>
      </c>
      <c r="H41" s="414" t="str">
        <f>Tootep_kalk!K87</f>
        <v>Elektrienergia</v>
      </c>
      <c r="I41" s="415">
        <f>Tootep_kalk!M87</f>
        <v>0</v>
      </c>
      <c r="K41" s="414" t="str">
        <f>Tootep_kalk!A87</f>
        <v>Sisseostetud sööt</v>
      </c>
      <c r="L41" s="415">
        <f>Tootep_kalk!C87</f>
        <v>0</v>
      </c>
      <c r="N41" s="414" t="str">
        <f>Tootep_kalk!F87</f>
        <v>Sisseostetud sööt</v>
      </c>
      <c r="O41" s="415">
        <f>Tootep_kalk!H87</f>
        <v>0</v>
      </c>
      <c r="Q41" s="414" t="str">
        <f>Tootep_kalk!AL87</f>
        <v>Sisseostetud sööt</v>
      </c>
      <c r="R41" s="415">
        <f>Tootep_kalk!AN87</f>
        <v>0</v>
      </c>
      <c r="T41" s="414" t="str">
        <f>Tootep_kalk!P87</f>
        <v>Isetoodetud taimne sööt</v>
      </c>
      <c r="U41" s="415">
        <f>Tootep_kalk!R87</f>
        <v>0</v>
      </c>
      <c r="W41" s="414" t="str">
        <f>Tootep_kalk!U87</f>
        <v>Isetoodetud taimne sööt</v>
      </c>
      <c r="X41" s="415">
        <f>Tootep_kalk!W87</f>
        <v>0</v>
      </c>
    </row>
    <row r="42" spans="2:24" ht="36" customHeight="1">
      <c r="B42" s="531" t="str">
        <f>Tootep_kalk!AA88</f>
        <v>Sisseostetud sööt</v>
      </c>
      <c r="C42" s="503">
        <f>Tootep_kalk!AC88</f>
        <v>0</v>
      </c>
      <c r="E42" s="531" t="str">
        <f>Tootep_kalk!AG88</f>
        <v>Sisseostetud sööt</v>
      </c>
      <c r="F42" s="503">
        <f>Tootep_kalk!AI88</f>
        <v>0</v>
      </c>
      <c r="H42" s="531" t="str">
        <f>Tootep_kalk!K88</f>
        <v>Sisseostetud sööt</v>
      </c>
      <c r="I42" s="503">
        <f>Tootep_kalk!M88</f>
        <v>0</v>
      </c>
      <c r="K42" s="531" t="str">
        <f>Tootep_kalk!A88</f>
        <v>Isetoodetud taimne sööt</v>
      </c>
      <c r="L42" s="503">
        <f>Tootep_kalk!C88</f>
        <v>0</v>
      </c>
      <c r="N42" s="531" t="str">
        <f>Tootep_kalk!F88</f>
        <v>Isetoodetud taimne sööt</v>
      </c>
      <c r="O42" s="503">
        <f>Tootep_kalk!H88</f>
        <v>0</v>
      </c>
      <c r="Q42" s="531" t="str">
        <f>Tootep_kalk!AL88</f>
        <v>Isetoodetud taimne sööt</v>
      </c>
      <c r="R42" s="503">
        <f>Tootep_kalk!AN88</f>
        <v>0</v>
      </c>
      <c r="T42" s="531" t="str">
        <f>Tootep_kalk!P88</f>
        <v>Vesi</v>
      </c>
      <c r="U42" s="503">
        <f>Tootep_kalk!R88</f>
        <v>0</v>
      </c>
      <c r="W42" s="531" t="str">
        <f>Tootep_kalk!U88</f>
        <v>Vesi</v>
      </c>
      <c r="X42" s="503">
        <f>Tootep_kalk!W88</f>
        <v>0</v>
      </c>
    </row>
    <row r="43" spans="2:24" ht="30" customHeight="1">
      <c r="B43" s="414" t="str">
        <f>Tootep_kalk!AA89</f>
        <v>Isetoodetud taimne sööt</v>
      </c>
      <c r="C43" s="415">
        <f>Tootep_kalk!AC89</f>
        <v>0</v>
      </c>
      <c r="E43" s="414" t="str">
        <f>Tootep_kalk!AG89</f>
        <v>Isetoodetud taimne sööt</v>
      </c>
      <c r="F43" s="415">
        <f>Tootep_kalk!AI89</f>
        <v>0</v>
      </c>
      <c r="H43" s="414" t="str">
        <f>Tootep_kalk!K89</f>
        <v>Isetoodetud taimne sööt</v>
      </c>
      <c r="I43" s="415">
        <f>Tootep_kalk!M89</f>
        <v>0</v>
      </c>
      <c r="K43" s="414" t="str">
        <f>Tootep_kalk!A89</f>
        <v>Ostetud tibud</v>
      </c>
      <c r="L43" s="415">
        <f>Tootep_kalk!C89</f>
        <v>0</v>
      </c>
      <c r="N43" s="414" t="str">
        <f>Tootep_kalk!F89</f>
        <v>Ostetud tibud</v>
      </c>
      <c r="O43" s="415">
        <f>Tootep_kalk!H89</f>
        <v>0</v>
      </c>
      <c r="Q43" s="414" t="str">
        <f>Tootep_kalk!AL89</f>
        <v>Vesi</v>
      </c>
      <c r="R43" s="415">
        <f>Tootep_kalk!AN89</f>
        <v>0</v>
      </c>
      <c r="T43" s="530" t="str">
        <f>Tootep_kalk!P89</f>
        <v>Kütuste ja energia tootmisega seotud kaudsed mõjud</v>
      </c>
      <c r="U43" s="415">
        <f>Tootep_kalk!R89</f>
        <v>0</v>
      </c>
      <c r="W43" s="530" t="str">
        <f>Tootep_kalk!U89</f>
        <v>Kütuste ja energia tootmisega seotud kaudsed mõjud</v>
      </c>
      <c r="X43" s="415">
        <f>Tootep_kalk!W89</f>
        <v>0</v>
      </c>
    </row>
    <row r="44" spans="2:24" ht="35.25" customHeight="1">
      <c r="B44" s="531" t="str">
        <f>Tootep_kalk!AA90</f>
        <v>Vesi</v>
      </c>
      <c r="C44" s="503">
        <f>Tootep_kalk!AC90</f>
        <v>0</v>
      </c>
      <c r="E44" s="531" t="str">
        <f>Tootep_kalk!AG90</f>
        <v>Vesi</v>
      </c>
      <c r="F44" s="503">
        <f>Tootep_kalk!AI90</f>
        <v>0</v>
      </c>
      <c r="H44" s="531" t="str">
        <f>Tootep_kalk!K90</f>
        <v>Vesi</v>
      </c>
      <c r="I44" s="503">
        <f>Tootep_kalk!M90</f>
        <v>0</v>
      </c>
      <c r="K44" s="531" t="str">
        <f>Tootep_kalk!A90</f>
        <v>Vesi</v>
      </c>
      <c r="L44" s="503">
        <f>Tootep_kalk!C90</f>
        <v>0</v>
      </c>
      <c r="N44" s="531" t="str">
        <f>Tootep_kalk!F90</f>
        <v>Vesi</v>
      </c>
      <c r="O44" s="503">
        <f>Tootep_kalk!H90</f>
        <v>0</v>
      </c>
      <c r="Q44" s="600" t="str">
        <f>Tootep_kalk!AL90</f>
        <v>Kütuste ja energia tootmisega seotud kaudsed mõjud</v>
      </c>
      <c r="R44" s="503">
        <f>Tootep_kalk!AN90</f>
        <v>0</v>
      </c>
      <c r="T44" s="531" t="str">
        <f>Tootep_kalk!P90</f>
        <v>Jäätmekäitlus</v>
      </c>
      <c r="U44" s="503">
        <f>Tootep_kalk!R90</f>
        <v>0</v>
      </c>
      <c r="W44" s="531" t="str">
        <f>Tootep_kalk!U90</f>
        <v>Jäätmekäitlus</v>
      </c>
      <c r="X44" s="503">
        <f>Tootep_kalk!W90</f>
        <v>0</v>
      </c>
    </row>
    <row r="45" spans="2:24" ht="29">
      <c r="B45" s="595" t="str">
        <f>Tootep_kalk!AA91</f>
        <v>Kütuste ja energia tootmisega seotud kaudsed mõjud</v>
      </c>
      <c r="C45" s="415">
        <f>Tootep_kalk!AC91</f>
        <v>0</v>
      </c>
      <c r="E45" s="530" t="str">
        <f>Tootep_kalk!AG91</f>
        <v>Kütuste ja energia tootmisega seotud kaudsed mõjud</v>
      </c>
      <c r="F45" s="415">
        <f>Tootep_kalk!AI91</f>
        <v>0</v>
      </c>
      <c r="H45" s="595" t="str">
        <f>Tootep_kalk!K91</f>
        <v>Kütuste ja energia tootmisega seotud kaudsed mõjud</v>
      </c>
      <c r="I45" s="415">
        <f>Tootep_kalk!M91</f>
        <v>0</v>
      </c>
      <c r="K45" s="595" t="str">
        <f>Tootep_kalk!A91</f>
        <v>Kütuste ja energia tootmisega seotud kaudsed mõjud</v>
      </c>
      <c r="L45" s="415">
        <f>Tootep_kalk!C91</f>
        <v>0</v>
      </c>
      <c r="N45" s="595" t="str">
        <f>Tootep_kalk!F91</f>
        <v>Kütuste ja energia tootmisega seotud kaudsed mõjud</v>
      </c>
      <c r="O45" s="415">
        <f>Tootep_kalk!H91</f>
        <v>0</v>
      </c>
      <c r="Q45" s="414" t="str">
        <f>Tootep_kalk!AL91</f>
        <v>Jäätmekäitlus</v>
      </c>
      <c r="R45" s="415">
        <f>Tootep_kalk!AN91</f>
        <v>0</v>
      </c>
      <c r="T45" s="414"/>
      <c r="U45" s="415"/>
      <c r="W45" s="414"/>
      <c r="X45" s="415"/>
    </row>
    <row r="46" spans="2:24" ht="15" thickBot="1">
      <c r="B46" s="531" t="str">
        <f>Tootep_kalk!AA92</f>
        <v>Jäätmekäitlus</v>
      </c>
      <c r="C46" s="503">
        <f>Tootep_kalk!AC92</f>
        <v>0</v>
      </c>
      <c r="E46" s="531" t="str">
        <f>Tootep_kalk!AG92</f>
        <v>Jäätmekäitlus</v>
      </c>
      <c r="F46" s="503">
        <f>Tootep_kalk!AI92</f>
        <v>0</v>
      </c>
      <c r="H46" s="531" t="str">
        <f>Tootep_kalk!K92</f>
        <v>Jäätmekäitlus</v>
      </c>
      <c r="I46" s="503">
        <f>Tootep_kalk!M92</f>
        <v>0</v>
      </c>
      <c r="K46" s="531" t="str">
        <f>Tootep_kalk!A92</f>
        <v>Jäätmekäitlus</v>
      </c>
      <c r="L46" s="503">
        <f>Tootep_kalk!C92</f>
        <v>0</v>
      </c>
      <c r="N46" s="531" t="str">
        <f>Tootep_kalk!F92</f>
        <v>Jäätmekäitlus</v>
      </c>
      <c r="O46" s="503">
        <f>Tootep_kalk!H92</f>
        <v>0</v>
      </c>
      <c r="Q46" s="531"/>
      <c r="R46" s="503"/>
      <c r="T46" s="531"/>
      <c r="U46" s="503"/>
      <c r="W46" s="531"/>
      <c r="X46" s="503"/>
    </row>
    <row r="47" spans="2:24" ht="15" thickBot="1">
      <c r="B47" s="463" t="s">
        <v>15</v>
      </c>
      <c r="C47" s="592">
        <f>SUM(C33:C46)</f>
        <v>0</v>
      </c>
      <c r="E47" s="463" t="s">
        <v>15</v>
      </c>
      <c r="F47" s="592">
        <f>SUM(F33:F46)</f>
        <v>0</v>
      </c>
      <c r="H47" s="463" t="s">
        <v>15</v>
      </c>
      <c r="I47" s="592">
        <f>SUM(I33:I46)</f>
        <v>0</v>
      </c>
      <c r="K47" s="463" t="s">
        <v>15</v>
      </c>
      <c r="L47" s="592">
        <f>SUM(L33:L46)</f>
        <v>0</v>
      </c>
      <c r="N47" s="463" t="s">
        <v>15</v>
      </c>
      <c r="O47" s="592">
        <f>SUM(O33:O46)</f>
        <v>0</v>
      </c>
      <c r="Q47" s="463" t="s">
        <v>15</v>
      </c>
      <c r="R47" s="592">
        <f>SUM(R33:R45)</f>
        <v>0</v>
      </c>
      <c r="T47" s="463" t="s">
        <v>15</v>
      </c>
      <c r="U47" s="592">
        <f>SUM(U33:U44)</f>
        <v>0</v>
      </c>
      <c r="W47" s="463" t="s">
        <v>15</v>
      </c>
      <c r="X47" s="592">
        <f>SUM(X33:X44)</f>
        <v>0</v>
      </c>
    </row>
  </sheetData>
  <sheetProtection insertColumns="0" insertRows="0" selectLockedCells="1" selectUnlockedCells="1"/>
  <mergeCells count="19">
    <mergeCell ref="AI4:AJ4"/>
    <mergeCell ref="AL4:AM4"/>
    <mergeCell ref="T4:U4"/>
    <mergeCell ref="W4:X4"/>
    <mergeCell ref="Z4:AA4"/>
    <mergeCell ref="AC4:AD4"/>
    <mergeCell ref="AF4:AG4"/>
    <mergeCell ref="Q4:R4"/>
    <mergeCell ref="B4:C4"/>
    <mergeCell ref="E4:F4"/>
    <mergeCell ref="H4:I4"/>
    <mergeCell ref="K4:L4"/>
    <mergeCell ref="N4:O4"/>
    <mergeCell ref="W31:X31"/>
    <mergeCell ref="Q31:R31"/>
    <mergeCell ref="K31:L31"/>
    <mergeCell ref="N31:O31"/>
    <mergeCell ref="H31:I31"/>
    <mergeCell ref="T31:U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DFB45-DF11-46E0-AA41-D21521F8A7F5}">
  <sheetPr codeName="Sheet3">
    <pageSetUpPr autoPageBreaks="0"/>
  </sheetPr>
  <dimension ref="A1:HW509"/>
  <sheetViews>
    <sheetView topLeftCell="CV50" zoomScale="66" zoomScaleNormal="66" workbookViewId="0">
      <selection activeCell="DR106" sqref="DR106"/>
    </sheetView>
  </sheetViews>
  <sheetFormatPr defaultColWidth="8.54296875" defaultRowHeight="14.5"/>
  <cols>
    <col min="1" max="1" width="10.54296875" customWidth="1"/>
    <col min="2" max="2" width="29.54296875" customWidth="1"/>
    <col min="3" max="3" width="20.453125" customWidth="1"/>
    <col min="4" max="4" width="114.1796875" customWidth="1"/>
    <col min="5" max="5" width="21" customWidth="1"/>
    <col min="6" max="43" width="19.54296875" customWidth="1"/>
    <col min="44" max="44" width="41.54296875" customWidth="1"/>
    <col min="45" max="46" width="30.453125" customWidth="1"/>
    <col min="47" max="47" width="21.453125" customWidth="1"/>
    <col min="48" max="48" width="23.54296875" customWidth="1"/>
    <col min="51" max="51" width="42.453125" customWidth="1"/>
    <col min="52" max="52" width="26.54296875" customWidth="1"/>
    <col min="53" max="53" width="16.453125" customWidth="1"/>
    <col min="54" max="54" width="18.453125" customWidth="1"/>
    <col min="55" max="55" width="17.453125" customWidth="1"/>
    <col min="56" max="57" width="14.453125" customWidth="1"/>
    <col min="58" max="58" width="23.453125" customWidth="1"/>
    <col min="60" max="60" width="32.453125" customWidth="1"/>
    <col min="61" max="61" width="20.453125" customWidth="1"/>
    <col min="62" max="62" width="11.453125" customWidth="1"/>
    <col min="64" max="64" width="15.453125" customWidth="1"/>
    <col min="68" max="68" width="31" customWidth="1"/>
    <col min="72" max="72" width="15.54296875" customWidth="1"/>
    <col min="75" max="75" width="29.453125" customWidth="1"/>
    <col min="82" max="82" width="28.453125" customWidth="1"/>
    <col min="114" max="114" width="22.1796875" customWidth="1"/>
    <col min="120" max="120" width="35.81640625" customWidth="1"/>
    <col min="121" max="121" width="17.453125" customWidth="1"/>
    <col min="127" max="127" width="26" customWidth="1"/>
  </cols>
  <sheetData>
    <row r="1" spans="1:127" ht="15" thickBot="1">
      <c r="B1" t="s">
        <v>17</v>
      </c>
      <c r="AY1" s="90" t="s">
        <v>509</v>
      </c>
      <c r="AZ1" s="355"/>
      <c r="BA1" s="16"/>
      <c r="BB1" s="16"/>
      <c r="BC1" s="16"/>
      <c r="BD1" s="17"/>
      <c r="BH1" s="90" t="s">
        <v>178</v>
      </c>
      <c r="BI1" s="16"/>
      <c r="BJ1" s="16"/>
      <c r="BK1" s="16"/>
      <c r="BL1" s="16"/>
      <c r="BM1" s="17"/>
      <c r="BP1" s="90" t="s">
        <v>180</v>
      </c>
      <c r="BQ1" s="16"/>
      <c r="BR1" s="16"/>
      <c r="BS1" s="16"/>
      <c r="BT1" s="16"/>
      <c r="BU1" s="17"/>
      <c r="BW1" s="90" t="s">
        <v>181</v>
      </c>
      <c r="BX1" s="16"/>
      <c r="BY1" s="16"/>
      <c r="BZ1" s="16"/>
      <c r="CA1" s="16"/>
      <c r="CB1" s="17"/>
      <c r="CD1" s="90" t="s">
        <v>183</v>
      </c>
      <c r="CE1" s="16"/>
      <c r="CF1" s="16"/>
      <c r="CG1" s="16"/>
      <c r="CH1" s="16"/>
      <c r="CI1" s="17"/>
    </row>
    <row r="2" spans="1:127">
      <c r="B2" s="173" t="s">
        <v>510</v>
      </c>
      <c r="C2" s="173" t="s">
        <v>511</v>
      </c>
      <c r="D2" s="204"/>
      <c r="E2" s="62">
        <f>Taimekasvatus!$G$14</f>
        <v>0</v>
      </c>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42">
        <f>SUM(E2:AR2)</f>
        <v>0</v>
      </c>
      <c r="AT2" s="42"/>
      <c r="AU2" t="s">
        <v>22</v>
      </c>
      <c r="AW2" s="132"/>
      <c r="AX2" s="132"/>
      <c r="AY2" s="20" t="s">
        <v>455</v>
      </c>
      <c r="AZ2" t="s">
        <v>512</v>
      </c>
      <c r="BA2" t="s">
        <v>108</v>
      </c>
      <c r="BB2" t="s">
        <v>513</v>
      </c>
      <c r="BC2" t="s">
        <v>19</v>
      </c>
      <c r="BD2" s="21" t="s">
        <v>514</v>
      </c>
      <c r="BE2" s="1"/>
      <c r="BH2" s="80" t="s">
        <v>515</v>
      </c>
      <c r="BK2" t="s">
        <v>516</v>
      </c>
      <c r="BL2" t="s">
        <v>514</v>
      </c>
      <c r="BM2" s="21"/>
      <c r="BP2" s="80" t="s">
        <v>515</v>
      </c>
      <c r="BS2" t="s">
        <v>516</v>
      </c>
      <c r="BT2" t="s">
        <v>514</v>
      </c>
      <c r="BU2" s="21"/>
      <c r="BW2" s="80" t="s">
        <v>515</v>
      </c>
      <c r="BZ2" t="s">
        <v>516</v>
      </c>
      <c r="CA2" t="s">
        <v>514</v>
      </c>
      <c r="CB2" s="21"/>
      <c r="CD2" s="80" t="s">
        <v>515</v>
      </c>
      <c r="CG2" t="s">
        <v>516</v>
      </c>
      <c r="CH2" t="s">
        <v>514</v>
      </c>
      <c r="CI2" s="21"/>
      <c r="CK2" s="15" t="s">
        <v>184</v>
      </c>
      <c r="CL2" s="16"/>
      <c r="CM2" s="16"/>
      <c r="CN2" s="16"/>
      <c r="CO2" s="17"/>
      <c r="DP2" t="str">
        <f>Tugitegevused!B9</f>
        <v>Isetoodetud soojusenergia</v>
      </c>
      <c r="DQ2" t="str" cm="1">
        <f t="array" ref="DQ2:DQ7">Tugitegevused!C9:C14</f>
        <v>Kogus</v>
      </c>
      <c r="DR2" t="s">
        <v>516</v>
      </c>
      <c r="DS2" t="s">
        <v>517</v>
      </c>
    </row>
    <row r="3" spans="1:127">
      <c r="B3" s="173" t="s">
        <v>518</v>
      </c>
      <c r="C3" s="173" t="s">
        <v>519</v>
      </c>
      <c r="D3" s="204"/>
      <c r="E3" s="62">
        <f>Taimekasvatus!$G$15</f>
        <v>0</v>
      </c>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42">
        <f>SUM(E3:AR3)</f>
        <v>0</v>
      </c>
      <c r="AT3" s="42"/>
      <c r="AU3" t="s">
        <v>22</v>
      </c>
      <c r="AW3" s="132"/>
      <c r="AX3" s="132"/>
      <c r="AY3" s="20" t="str">
        <f>Taimekasvatus!D164</f>
        <v>Kuivatis kasutatud kütus</v>
      </c>
      <c r="AZ3">
        <f>Taimekasvatus!E164</f>
        <v>0</v>
      </c>
      <c r="BA3">
        <f>Taimekasvatus!F164</f>
        <v>0</v>
      </c>
      <c r="BB3" t="str">
        <f>IFERROR(VLOOKUP(AZ3,EFid!$A$3:$B$25,2,FALSE),"")</f>
        <v/>
      </c>
      <c r="BC3" t="str">
        <f>IFERROR(VLOOKUP(AZ3,EFid!$A$3:$C$25,3,FALSE),"")</f>
        <v/>
      </c>
      <c r="BD3" s="21">
        <f>IFERROR(BB3*BA3,0)</f>
        <v>0</v>
      </c>
      <c r="BE3" s="446">
        <f>SUM(BD3:BD6)</f>
        <v>0</v>
      </c>
      <c r="BH3" s="20" t="s">
        <v>308</v>
      </c>
      <c r="BI3">
        <f>Loomakasvatus!C229</f>
        <v>0</v>
      </c>
      <c r="BJ3">
        <f>Loomakasvatus!D229</f>
        <v>0</v>
      </c>
      <c r="BK3" t="str">
        <f>IFERROR(VLOOKUP(BI3,EFid!$A$50:$B$73,2,FALSE),"0")</f>
        <v>0</v>
      </c>
      <c r="BL3">
        <f t="shared" ref="BL3" si="0">BJ3*BK3</f>
        <v>0</v>
      </c>
      <c r="BM3" s="445">
        <f>SUM(BL4,BL5,BL3)</f>
        <v>0</v>
      </c>
      <c r="BP3" s="20" t="s">
        <v>240</v>
      </c>
      <c r="BQ3">
        <f>Loomakasvatus!C130</f>
        <v>0</v>
      </c>
      <c r="BR3">
        <f>Loomakasvatus!D130</f>
        <v>0</v>
      </c>
      <c r="BS3" t="str">
        <f>IFERROR(VLOOKUP(BQ3,EFid!$A$50:$B$73,2,FALSE),"0")</f>
        <v>0</v>
      </c>
      <c r="BT3">
        <f>BR3*BS3</f>
        <v>0</v>
      </c>
      <c r="BU3" s="445">
        <f>SUM(BT3,BT4,BT5)</f>
        <v>0</v>
      </c>
      <c r="BW3" s="20" t="s">
        <v>240</v>
      </c>
      <c r="BX3">
        <f>Loomakasvatus!C413</f>
        <v>0</v>
      </c>
      <c r="BY3">
        <f>Loomakasvatus!D413</f>
        <v>0</v>
      </c>
      <c r="BZ3" t="str">
        <f>IFERROR(VLOOKUP(BX3,EFid!$A$50:$B$73,2,FALSE),"0")</f>
        <v>0</v>
      </c>
      <c r="CA3">
        <f>BY3*BZ3</f>
        <v>0</v>
      </c>
      <c r="CB3" s="445">
        <f>SUM(CA3,CA4,CA5)</f>
        <v>0</v>
      </c>
      <c r="CD3" s="20" t="s">
        <v>308</v>
      </c>
      <c r="CE3">
        <f>Loomakasvatus!C591</f>
        <v>0</v>
      </c>
      <c r="CF3">
        <f>Loomakasvatus!D591</f>
        <v>0</v>
      </c>
      <c r="CG3" t="str">
        <f>IFERROR(VLOOKUP(CE3,EFid!$A$50:$B$73,2,FALSE),"0")</f>
        <v>0</v>
      </c>
      <c r="CH3">
        <f t="shared" ref="CH3" si="1">CF3*CG3</f>
        <v>0</v>
      </c>
      <c r="CI3" s="21"/>
      <c r="CK3" s="20" t="s">
        <v>520</v>
      </c>
      <c r="CO3" s="21"/>
      <c r="DP3" t="str">
        <f>Tugitegevused!B10</f>
        <v>Biomass (nt puiduhake, saepuru) (kg)</v>
      </c>
      <c r="DQ3">
        <v>0</v>
      </c>
      <c r="DR3">
        <f>IFERROR(VLOOKUP(DP3,EFid!$A$3:$C$21,2,FALSE),0)</f>
        <v>7.6469635290929514E-4</v>
      </c>
      <c r="DS3">
        <f>DR3*DQ3</f>
        <v>0</v>
      </c>
      <c r="DT3" s="444">
        <f>SUM(DS3:DS7)</f>
        <v>0</v>
      </c>
    </row>
    <row r="4" spans="1:127" ht="15" thickBot="1">
      <c r="B4" s="171" t="s">
        <v>521</v>
      </c>
      <c r="C4" s="172"/>
      <c r="D4" s="170"/>
      <c r="E4" s="61">
        <f>(E2*'M1 - TK'!$B$3)+(E3*'M1 - TK'!$B$5)</f>
        <v>0</v>
      </c>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443">
        <f>SUM(E4:AR4)*(44/12)*1000+E49*(44/28)*265</f>
        <v>0</v>
      </c>
      <c r="AV4" t="s">
        <v>522</v>
      </c>
      <c r="AY4" s="20" t="str">
        <f>Taimekasvatus!D165</f>
        <v>Kütus 2</v>
      </c>
      <c r="AZ4">
        <f>Taimekasvatus!E165</f>
        <v>0</v>
      </c>
      <c r="BA4">
        <f>Taimekasvatus!F165</f>
        <v>0</v>
      </c>
      <c r="BB4" t="str">
        <f>IFERROR(VLOOKUP(AZ4,EFid!$A$3:$B$25,2,FALSE),"")</f>
        <v/>
      </c>
      <c r="BC4" t="str">
        <f>IFERROR(VLOOKUP(AZ4,EFid!$A$3:$C$25,3,FALSE),"")</f>
        <v/>
      </c>
      <c r="BD4" s="21">
        <f>IFERROR(BB4*BA4,0)</f>
        <v>0</v>
      </c>
      <c r="BE4" s="1"/>
      <c r="BH4" s="20" t="s">
        <v>306</v>
      </c>
      <c r="BI4">
        <f>Loomakasvatus!C227</f>
        <v>0</v>
      </c>
      <c r="BJ4">
        <f>Loomakasvatus!D227</f>
        <v>0</v>
      </c>
      <c r="BK4" t="str">
        <f>IFERROR(VLOOKUP(BI4,EFid!$A$50:$B$73,2,FALSE),"0")</f>
        <v>0</v>
      </c>
      <c r="BL4">
        <f>BJ4*BK4</f>
        <v>0</v>
      </c>
      <c r="BM4" s="21"/>
      <c r="BP4" s="20" t="s">
        <v>243</v>
      </c>
      <c r="BQ4">
        <f>Loomakasvatus!C131</f>
        <v>0</v>
      </c>
      <c r="BR4">
        <f>Loomakasvatus!D131</f>
        <v>0</v>
      </c>
      <c r="BS4" t="str">
        <f>IFERROR(VLOOKUP(BQ4,EFid!$A$50:$B$73,2,FALSE),"0")</f>
        <v>0</v>
      </c>
      <c r="BT4">
        <f>BR4*BS4</f>
        <v>0</v>
      </c>
      <c r="BU4" s="21"/>
      <c r="BW4" s="20" t="s">
        <v>243</v>
      </c>
      <c r="BX4">
        <f>Loomakasvatus!C414</f>
        <v>0</v>
      </c>
      <c r="BY4">
        <f>Loomakasvatus!D414</f>
        <v>0</v>
      </c>
      <c r="BZ4" t="str">
        <f>IFERROR(VLOOKUP(BX4,EFid!$A$50:$B$73,2,FALSE),"0")</f>
        <v>0</v>
      </c>
      <c r="CA4">
        <f>BY4*BZ4</f>
        <v>0</v>
      </c>
      <c r="CB4" s="21"/>
      <c r="CD4" s="20" t="s">
        <v>306</v>
      </c>
      <c r="CE4">
        <f>Loomakasvatus!C589</f>
        <v>0</v>
      </c>
      <c r="CF4">
        <f>Loomakasvatus!D589</f>
        <v>0</v>
      </c>
      <c r="CG4" t="str">
        <f>IFERROR(VLOOKUP(CE4,EFid!$A$50:$B$73,2,FALSE),"0")</f>
        <v>0</v>
      </c>
      <c r="CH4">
        <f>CF4*CG4</f>
        <v>0</v>
      </c>
      <c r="CI4" s="445">
        <f>SUM(CH4,CH5,CH3)</f>
        <v>0</v>
      </c>
      <c r="CK4" s="80" t="s">
        <v>177</v>
      </c>
      <c r="CO4" s="21"/>
      <c r="DP4" t="str">
        <f>Tugitegevused!B11</f>
        <v>Kerge kütteõli (kg)</v>
      </c>
      <c r="DQ4">
        <v>0</v>
      </c>
      <c r="DR4">
        <f>IFERROR(VLOOKUP(DP4,EFid!$A$3:$C$21,2,FALSE),0)</f>
        <v>3.1467437013401383</v>
      </c>
      <c r="DS4">
        <f t="shared" ref="DS4:DS7" si="2">DR4*DQ4</f>
        <v>0</v>
      </c>
    </row>
    <row r="5" spans="1:127" ht="19" thickBot="1">
      <c r="E5" s="1345" t="str">
        <f>Taimekasvatus!G18</f>
        <v>Põllukultuurid</v>
      </c>
      <c r="F5" s="1345"/>
      <c r="G5" s="1345"/>
      <c r="H5" s="1345"/>
      <c r="I5" s="1345"/>
      <c r="J5" s="1345"/>
      <c r="K5" s="1345"/>
      <c r="L5" s="1345"/>
      <c r="M5" s="1345"/>
      <c r="N5" s="1345"/>
      <c r="O5" s="1345"/>
      <c r="P5" s="1345"/>
      <c r="Q5" s="1345"/>
      <c r="R5" s="1345"/>
      <c r="S5" s="1345"/>
      <c r="T5" s="1345"/>
      <c r="U5" s="1345"/>
      <c r="V5" s="1345"/>
      <c r="W5" s="1345"/>
      <c r="X5" s="1345"/>
      <c r="Y5" s="401" t="str">
        <f>Taimekasvatus!AA18</f>
        <v>Haljaskultuurid</v>
      </c>
      <c r="Z5" s="402"/>
      <c r="AA5" s="402"/>
      <c r="AB5" s="402"/>
      <c r="AC5" s="402"/>
      <c r="AD5" s="402"/>
      <c r="AE5" s="402"/>
      <c r="AF5" s="402"/>
      <c r="AG5" s="402"/>
      <c r="AH5" s="402"/>
      <c r="AI5" s="402"/>
      <c r="AJ5" s="402"/>
      <c r="AK5" s="402"/>
      <c r="AL5" s="402"/>
      <c r="AM5" s="402"/>
      <c r="AN5" s="402"/>
      <c r="AO5" s="402"/>
      <c r="AP5" s="1345" t="s">
        <v>27</v>
      </c>
      <c r="AQ5" s="1346"/>
      <c r="AR5" s="1347"/>
      <c r="AS5" s="411" t="s">
        <v>15</v>
      </c>
      <c r="AT5" s="411"/>
      <c r="AU5" s="1"/>
      <c r="AV5" s="1161">
        <f>0/100</f>
        <v>0</v>
      </c>
      <c r="AW5" s="1"/>
      <c r="AX5" s="1"/>
      <c r="AY5" s="20" t="str">
        <f>Taimekasvatus!D166</f>
        <v>Kütus 3</v>
      </c>
      <c r="AZ5">
        <f>Taimekasvatus!E166</f>
        <v>0</v>
      </c>
      <c r="BA5">
        <f>Taimekasvatus!F166</f>
        <v>0</v>
      </c>
      <c r="BB5" t="str">
        <f>IFERROR(VLOOKUP(AZ5,EFid!$A$3:$B$25,2,FALSE),"")</f>
        <v/>
      </c>
      <c r="BC5" t="str">
        <f>IFERROR(VLOOKUP(AZ5,EFid!$A$3:$C$25,3,FALSE),"")</f>
        <v/>
      </c>
      <c r="BD5" s="21">
        <f>IFERROR(BB5*BA5,0)</f>
        <v>0</v>
      </c>
      <c r="BH5" s="20" t="s">
        <v>307</v>
      </c>
      <c r="BI5">
        <f>Loomakasvatus!C228</f>
        <v>0</v>
      </c>
      <c r="BJ5">
        <f>Loomakasvatus!D228</f>
        <v>0</v>
      </c>
      <c r="BK5" t="str">
        <f>IFERROR(VLOOKUP(BI5,EFid!$A$50:$B$73,2,FALSE),"0")</f>
        <v>0</v>
      </c>
      <c r="BL5">
        <f>BJ5*BK5</f>
        <v>0</v>
      </c>
      <c r="BM5" s="21"/>
      <c r="BP5" s="20" t="s">
        <v>244</v>
      </c>
      <c r="BQ5">
        <f>Loomakasvatus!C132</f>
        <v>0</v>
      </c>
      <c r="BR5">
        <f>Loomakasvatus!D132</f>
        <v>0</v>
      </c>
      <c r="BS5" t="str">
        <f>IFERROR(VLOOKUP(BQ5,EFid!$A$50:$B$73,2,FALSE),"0")</f>
        <v>0</v>
      </c>
      <c r="BT5">
        <f t="shared" ref="BT5" si="3">BR5*BS5</f>
        <v>0</v>
      </c>
      <c r="BU5" s="21"/>
      <c r="BV5" s="1"/>
      <c r="BW5" s="20" t="s">
        <v>244</v>
      </c>
      <c r="BX5">
        <f>Loomakasvatus!C415</f>
        <v>0</v>
      </c>
      <c r="BY5">
        <f>Loomakasvatus!D415</f>
        <v>0</v>
      </c>
      <c r="BZ5" t="str">
        <f>IFERROR(VLOOKUP(BX5,EFid!$A$50:$B$73,2,FALSE),"0")</f>
        <v>0</v>
      </c>
      <c r="CA5">
        <f t="shared" ref="CA5" si="4">BY5*BZ5</f>
        <v>0</v>
      </c>
      <c r="CB5" s="21"/>
      <c r="CD5" s="20" t="s">
        <v>307</v>
      </c>
      <c r="CE5">
        <f>Loomakasvatus!C590</f>
        <v>0</v>
      </c>
      <c r="CF5">
        <f>Loomakasvatus!D590</f>
        <v>0</v>
      </c>
      <c r="CG5" t="str">
        <f>IFERROR(VLOOKUP(CE5,EFid!$A$50:$B$73,2,FALSE),"0")</f>
        <v>0</v>
      </c>
      <c r="CH5">
        <f>CF5*CG5</f>
        <v>0</v>
      </c>
      <c r="CI5" s="21"/>
      <c r="CK5" s="20" t="str" cm="1">
        <f t="array" ref="CK5:CM9">Loomakasvatus!C79:E83</f>
        <v>Sööt, mille heitetegur on teada</v>
      </c>
      <c r="CL5" t="str">
        <v>Kogus (kg)</v>
      </c>
      <c r="CM5" t="str">
        <v>Heitetegur (kg CO2-ekv/kg)</v>
      </c>
      <c r="CN5" t="s">
        <v>517</v>
      </c>
      <c r="CO5" s="21"/>
      <c r="DJ5" s="1" t="s">
        <v>523</v>
      </c>
      <c r="DK5" t="s">
        <v>108</v>
      </c>
      <c r="DL5" t="s">
        <v>516</v>
      </c>
      <c r="DM5" t="s">
        <v>524</v>
      </c>
      <c r="DP5">
        <f>Tugitegevused!B12</f>
        <v>0</v>
      </c>
      <c r="DQ5">
        <v>0</v>
      </c>
      <c r="DR5">
        <f>IFERROR(VLOOKUP(DP5,EFid!$A$3:$C$21,2,FALSE),0)</f>
        <v>0</v>
      </c>
      <c r="DS5">
        <f t="shared" si="2"/>
        <v>0</v>
      </c>
    </row>
    <row r="6" spans="1:127" ht="15.5">
      <c r="B6" s="1"/>
      <c r="E6" s="325" t="str">
        <f>Taimekasvatus!G19</f>
        <v>Talinisu</v>
      </c>
      <c r="F6" s="325">
        <f>Taimekasvatus!H19</f>
        <v>0</v>
      </c>
      <c r="G6" s="325">
        <f>Taimekasvatus!I19</f>
        <v>0</v>
      </c>
      <c r="H6" s="325">
        <f>Taimekasvatus!J19</f>
        <v>0</v>
      </c>
      <c r="I6" s="325">
        <f>Taimekasvatus!K19</f>
        <v>0</v>
      </c>
      <c r="J6" s="325">
        <f>Taimekasvatus!L19</f>
        <v>0</v>
      </c>
      <c r="K6" s="325">
        <f>Taimekasvatus!M19</f>
        <v>0</v>
      </c>
      <c r="L6" s="325">
        <f>Taimekasvatus!N19</f>
        <v>0</v>
      </c>
      <c r="M6" s="325">
        <f>Taimekasvatus!O19</f>
        <v>0</v>
      </c>
      <c r="N6" s="325">
        <f>Taimekasvatus!P19</f>
        <v>0</v>
      </c>
      <c r="O6" s="325">
        <f>Taimekasvatus!Q19</f>
        <v>0</v>
      </c>
      <c r="P6" s="325">
        <f>Taimekasvatus!R19</f>
        <v>0</v>
      </c>
      <c r="Q6" s="325">
        <f>Taimekasvatus!S19</f>
        <v>0</v>
      </c>
      <c r="R6" s="325">
        <f>Taimekasvatus!T19</f>
        <v>0</v>
      </c>
      <c r="S6" s="325">
        <f>Taimekasvatus!U19</f>
        <v>0</v>
      </c>
      <c r="T6" s="325">
        <f>Taimekasvatus!V19</f>
        <v>0</v>
      </c>
      <c r="U6" s="325">
        <f>Taimekasvatus!W19</f>
        <v>0</v>
      </c>
      <c r="V6" s="325">
        <f>Taimekasvatus!X19</f>
        <v>0</v>
      </c>
      <c r="W6" s="325">
        <f>Taimekasvatus!Y19</f>
        <v>0</v>
      </c>
      <c r="X6" s="325">
        <f>Taimekasvatus!Z19</f>
        <v>0</v>
      </c>
      <c r="Y6" s="325">
        <f>Taimekasvatus!AA19</f>
        <v>0</v>
      </c>
      <c r="Z6" s="325">
        <f>Taimekasvatus!AB19</f>
        <v>0</v>
      </c>
      <c r="AA6" s="325">
        <f>Taimekasvatus!AC19</f>
        <v>0</v>
      </c>
      <c r="AB6" s="325">
        <f>Taimekasvatus!AD19</f>
        <v>0</v>
      </c>
      <c r="AC6" s="325">
        <f>Taimekasvatus!AE19</f>
        <v>0</v>
      </c>
      <c r="AD6" s="325">
        <f>Taimekasvatus!AF19</f>
        <v>0</v>
      </c>
      <c r="AE6" s="325">
        <f>Taimekasvatus!AG19</f>
        <v>0</v>
      </c>
      <c r="AF6" s="325">
        <f>Taimekasvatus!AH19</f>
        <v>0</v>
      </c>
      <c r="AG6" s="325">
        <f>Taimekasvatus!AI19</f>
        <v>0</v>
      </c>
      <c r="AH6" s="325">
        <f>Taimekasvatus!AJ19</f>
        <v>0</v>
      </c>
      <c r="AI6" s="325">
        <f>Taimekasvatus!AK19</f>
        <v>0</v>
      </c>
      <c r="AJ6" s="325">
        <f>Taimekasvatus!AL19</f>
        <v>0</v>
      </c>
      <c r="AK6" s="325">
        <f>Taimekasvatus!AM19</f>
        <v>0</v>
      </c>
      <c r="AL6" s="325">
        <f>Taimekasvatus!AN19</f>
        <v>0</v>
      </c>
      <c r="AM6" s="325">
        <f>Taimekasvatus!AO19</f>
        <v>0</v>
      </c>
      <c r="AN6" s="325">
        <f>Taimekasvatus!AP19</f>
        <v>0</v>
      </c>
      <c r="AO6" s="325">
        <f>Taimekasvatus!AQ19</f>
        <v>0</v>
      </c>
      <c r="AP6" s="325">
        <f>Taimekasvatus!AR19</f>
        <v>0</v>
      </c>
      <c r="AQ6" s="325">
        <f>Taimekasvatus!AS19</f>
        <v>0</v>
      </c>
      <c r="AR6" s="325">
        <f>Taimekasvatus!AT19</f>
        <v>0</v>
      </c>
      <c r="AS6" s="42"/>
      <c r="AT6" s="42"/>
      <c r="AV6" s="1161">
        <f>10/100</f>
        <v>0.1</v>
      </c>
      <c r="AY6" s="20" t="str">
        <f>Taimekasvatus!D167</f>
        <v>Kütus 4</v>
      </c>
      <c r="AZ6">
        <f>Taimekasvatus!E167</f>
        <v>0</v>
      </c>
      <c r="BA6">
        <f>Taimekasvatus!F167</f>
        <v>0</v>
      </c>
      <c r="BB6" t="str">
        <f>IFERROR(VLOOKUP(AZ6,EFid!$A$3:$B$25,2,FALSE),"")</f>
        <v/>
      </c>
      <c r="BC6" t="str">
        <f>IFERROR(VLOOKUP(AZ6,EFid!$A$3:$C$25,3,FALSE),"")</f>
        <v/>
      </c>
      <c r="BD6" s="21">
        <f>IFERROR(BB6*BA6,0)</f>
        <v>0</v>
      </c>
      <c r="BH6" s="20"/>
      <c r="BM6" s="21"/>
      <c r="BP6" s="20"/>
      <c r="BU6" s="21"/>
      <c r="BW6" s="20"/>
      <c r="CB6" s="21"/>
      <c r="CD6" s="20"/>
      <c r="CI6" s="21"/>
      <c r="CK6" s="20">
        <v>0</v>
      </c>
      <c r="CL6">
        <v>0</v>
      </c>
      <c r="CM6">
        <v>0</v>
      </c>
      <c r="CN6">
        <f>CL6*CM6</f>
        <v>0</v>
      </c>
      <c r="CO6" s="445">
        <f>SUM(CN6:CN9)</f>
        <v>0</v>
      </c>
      <c r="DJ6">
        <f>Tugitegevused!B23</f>
        <v>0</v>
      </c>
      <c r="DK6">
        <f>Tugitegevused!C23</f>
        <v>0</v>
      </c>
      <c r="DL6" t="str">
        <f>IFERROR(VLOOKUP(DJ6,EFid!$A$128:$C$234,3,FALSE),"0")</f>
        <v>0</v>
      </c>
      <c r="DM6">
        <f>DK6*DL6</f>
        <v>0</v>
      </c>
      <c r="DN6">
        <f>SUM(DM6:DM14)</f>
        <v>0</v>
      </c>
      <c r="DP6">
        <f>Tugitegevused!B13</f>
        <v>0</v>
      </c>
      <c r="DQ6">
        <v>0</v>
      </c>
      <c r="DR6">
        <f>IFERROR(VLOOKUP(DP6,EFid!$A$3:$C$21,2,FALSE),0)</f>
        <v>0</v>
      </c>
      <c r="DS6">
        <f t="shared" si="2"/>
        <v>0</v>
      </c>
    </row>
    <row r="7" spans="1:127">
      <c r="B7" s="173"/>
      <c r="C7" s="173"/>
      <c r="D7" s="204"/>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42">
        <f>SUM(E7:AR7)</f>
        <v>0</v>
      </c>
      <c r="AT7" s="42"/>
      <c r="AV7" s="1161">
        <f>25/100</f>
        <v>0.25</v>
      </c>
      <c r="AX7" s="1"/>
      <c r="AY7" s="20" t="str">
        <f>Taimekasvatus!D154</f>
        <v>Põllumasinates, põllutöödel ja taimekasvatusega seotud tugitegevustel kasutatud kütused</v>
      </c>
      <c r="BD7" s="21"/>
      <c r="BE7" s="1"/>
      <c r="BH7" s="20" t="str">
        <f>Loomakasvatus!B221</f>
        <v>Kasutatud soojusenergia liik 1</v>
      </c>
      <c r="BI7">
        <f>Loomakasvatus!C221</f>
        <v>0</v>
      </c>
      <c r="BJ7">
        <f>Loomakasvatus!D221</f>
        <v>0</v>
      </c>
      <c r="BK7">
        <f>IFERROR(VLOOKUP(BI7,EFid!$A$3:$D$31,2,FALSE),0)</f>
        <v>0</v>
      </c>
      <c r="BL7">
        <f>BK7*BJ7</f>
        <v>0</v>
      </c>
      <c r="BM7" s="445">
        <f>SUM(BL7,BL8,BL9)</f>
        <v>0</v>
      </c>
      <c r="BP7" s="20" t="str">
        <f>Loomakasvatus!B124</f>
        <v>Kasutatud soojusenergia liik 1</v>
      </c>
      <c r="BQ7">
        <f>Loomakasvatus!C124</f>
        <v>0</v>
      </c>
      <c r="BR7">
        <f>Loomakasvatus!D124</f>
        <v>0</v>
      </c>
      <c r="BS7">
        <f>IFERROR(VLOOKUP(BQ7,EFid!$A$3:$D$31,2,FALSE),0)</f>
        <v>0</v>
      </c>
      <c r="BT7">
        <f>BS7*BR7</f>
        <v>0</v>
      </c>
      <c r="BU7" s="445">
        <f>SUM(BT7,BT8,BT9)</f>
        <v>0</v>
      </c>
      <c r="BW7" s="20" t="str">
        <f>Loomakasvatus!B407</f>
        <v>Kasutatud soojusenergia liik 1</v>
      </c>
      <c r="BX7">
        <f>Loomakasvatus!C407</f>
        <v>0</v>
      </c>
      <c r="BY7">
        <f>Loomakasvatus!D407</f>
        <v>0</v>
      </c>
      <c r="BZ7">
        <f>IFERROR(VLOOKUP(BX7,EFid!$A$3:$D$31,2,FALSE),0)</f>
        <v>0</v>
      </c>
      <c r="CA7">
        <f>BZ7*BY7</f>
        <v>0</v>
      </c>
      <c r="CB7" s="445">
        <f>SUM(CA7,CA8,CA9)</f>
        <v>0</v>
      </c>
      <c r="CD7" s="20" t="str">
        <f>Loomakasvatus!B583</f>
        <v>Kasutatud soojusenergia liik 1</v>
      </c>
      <c r="CE7">
        <f>Loomakasvatus!C583</f>
        <v>0</v>
      </c>
      <c r="CF7">
        <f>Loomakasvatus!D583</f>
        <v>0</v>
      </c>
      <c r="CG7">
        <f>IFERROR(VLOOKUP(CE7,EFid!$A$3:$D$31,2,FALSE),0)</f>
        <v>0</v>
      </c>
      <c r="CH7">
        <f>CG7*CF7</f>
        <v>0</v>
      </c>
      <c r="CI7" s="445">
        <f>SUM(CH7,CH8,CH9)</f>
        <v>0</v>
      </c>
      <c r="CK7" s="20">
        <v>0</v>
      </c>
      <c r="CL7">
        <v>0</v>
      </c>
      <c r="CM7">
        <v>0</v>
      </c>
      <c r="CN7">
        <f t="shared" ref="CN7:CN9" si="5">CL7*CM7</f>
        <v>0</v>
      </c>
      <c r="CO7" s="21"/>
      <c r="DJ7">
        <f>Tugitegevused!B24</f>
        <v>0</v>
      </c>
      <c r="DK7">
        <f>Tugitegevused!C24</f>
        <v>0</v>
      </c>
      <c r="DL7" t="str">
        <f>IFERROR(VLOOKUP(DJ7,EFid!$A$128:$C$234,3,FALSE),"0")</f>
        <v>0</v>
      </c>
      <c r="DM7">
        <f t="shared" ref="DM7:DM14" si="6">DK7*DL7</f>
        <v>0</v>
      </c>
      <c r="DP7">
        <f>Tugitegevused!B14</f>
        <v>0</v>
      </c>
      <c r="DQ7">
        <v>0</v>
      </c>
      <c r="DR7">
        <f>IFERROR(VLOOKUP(DP7,EFid!$A$3:$C$21,2,FALSE),0)</f>
        <v>0</v>
      </c>
      <c r="DS7">
        <f t="shared" si="2"/>
        <v>0</v>
      </c>
    </row>
    <row r="8" spans="1:127">
      <c r="A8" t="s">
        <v>525</v>
      </c>
      <c r="B8" s="169" t="s">
        <v>526</v>
      </c>
      <c r="C8" s="170"/>
      <c r="D8" s="170"/>
      <c r="E8" s="61">
        <f>IFERROR(E9+E55,0)</f>
        <v>0</v>
      </c>
      <c r="F8" s="61">
        <f t="shared" ref="F8:AO8" si="7">IFERROR(F9+F49+F55,0)</f>
        <v>0</v>
      </c>
      <c r="G8" s="61">
        <f t="shared" si="7"/>
        <v>0</v>
      </c>
      <c r="H8" s="61">
        <f t="shared" si="7"/>
        <v>0</v>
      </c>
      <c r="I8" s="61">
        <f t="shared" si="7"/>
        <v>0</v>
      </c>
      <c r="J8" s="61">
        <f t="shared" si="7"/>
        <v>0</v>
      </c>
      <c r="K8" s="61">
        <f t="shared" si="7"/>
        <v>0</v>
      </c>
      <c r="L8" s="61">
        <f t="shared" si="7"/>
        <v>0</v>
      </c>
      <c r="M8" s="61">
        <f t="shared" si="7"/>
        <v>0</v>
      </c>
      <c r="N8" s="61">
        <f t="shared" si="7"/>
        <v>0</v>
      </c>
      <c r="O8" s="61">
        <f t="shared" si="7"/>
        <v>0</v>
      </c>
      <c r="P8" s="61">
        <f t="shared" si="7"/>
        <v>0</v>
      </c>
      <c r="Q8" s="61">
        <f t="shared" si="7"/>
        <v>0</v>
      </c>
      <c r="R8" s="61">
        <f t="shared" si="7"/>
        <v>0</v>
      </c>
      <c r="S8" s="61">
        <f t="shared" si="7"/>
        <v>0</v>
      </c>
      <c r="T8" s="61">
        <f t="shared" si="7"/>
        <v>0</v>
      </c>
      <c r="U8" s="61">
        <f t="shared" si="7"/>
        <v>0</v>
      </c>
      <c r="V8" s="61">
        <f t="shared" si="7"/>
        <v>0</v>
      </c>
      <c r="W8" s="61">
        <f t="shared" si="7"/>
        <v>0</v>
      </c>
      <c r="X8" s="61">
        <f t="shared" si="7"/>
        <v>0</v>
      </c>
      <c r="Y8" s="61">
        <f t="shared" si="7"/>
        <v>0</v>
      </c>
      <c r="Z8" s="61">
        <f t="shared" si="7"/>
        <v>0</v>
      </c>
      <c r="AA8" s="61">
        <f t="shared" si="7"/>
        <v>0</v>
      </c>
      <c r="AB8" s="61">
        <f t="shared" si="7"/>
        <v>0</v>
      </c>
      <c r="AC8" s="61">
        <f t="shared" si="7"/>
        <v>0</v>
      </c>
      <c r="AD8" s="61">
        <f t="shared" si="7"/>
        <v>0</v>
      </c>
      <c r="AE8" s="61">
        <f t="shared" si="7"/>
        <v>0</v>
      </c>
      <c r="AF8" s="61">
        <f t="shared" si="7"/>
        <v>0</v>
      </c>
      <c r="AG8" s="61">
        <f t="shared" si="7"/>
        <v>0</v>
      </c>
      <c r="AH8" s="61">
        <f t="shared" si="7"/>
        <v>0</v>
      </c>
      <c r="AI8" s="61">
        <f t="shared" si="7"/>
        <v>0</v>
      </c>
      <c r="AJ8" s="61">
        <f t="shared" si="7"/>
        <v>0</v>
      </c>
      <c r="AK8" s="61">
        <f t="shared" si="7"/>
        <v>0</v>
      </c>
      <c r="AL8" s="61">
        <f t="shared" si="7"/>
        <v>0</v>
      </c>
      <c r="AM8" s="61">
        <f t="shared" si="7"/>
        <v>0</v>
      </c>
      <c r="AN8" s="61">
        <f t="shared" si="7"/>
        <v>0</v>
      </c>
      <c r="AO8" s="61">
        <f t="shared" si="7"/>
        <v>0</v>
      </c>
      <c r="AP8" s="61">
        <f t="shared" ref="AP8:AR8" si="8">IFERROR(AP9+AP49+AP55,0)</f>
        <v>0</v>
      </c>
      <c r="AQ8" s="61">
        <f t="shared" si="8"/>
        <v>0</v>
      </c>
      <c r="AR8" s="61">
        <f t="shared" si="8"/>
        <v>0</v>
      </c>
      <c r="AS8" s="443">
        <f>AS9+AS55</f>
        <v>0</v>
      </c>
      <c r="AT8" s="444" t="s">
        <v>525</v>
      </c>
      <c r="AV8" s="1161">
        <f>50/100</f>
        <v>0.5</v>
      </c>
      <c r="AY8" s="20">
        <f>Taimekasvatus!D155</f>
        <v>0</v>
      </c>
      <c r="AZ8" t="str">
        <f>Taimekasvatus!E155</f>
        <v>Kütuseliik ja ühik</v>
      </c>
      <c r="BA8" t="str">
        <f>Taimekasvatus!F155</f>
        <v>Kogus</v>
      </c>
      <c r="BB8" t="s">
        <v>513</v>
      </c>
      <c r="BC8" t="s">
        <v>19</v>
      </c>
      <c r="BD8" s="21" t="s">
        <v>514</v>
      </c>
      <c r="BE8" s="446">
        <f>SUM(BD9:BD12)</f>
        <v>0</v>
      </c>
      <c r="BH8" s="20" t="str">
        <f>Loomakasvatus!B222</f>
        <v>Kasutatud soojusenergia liik 2</v>
      </c>
      <c r="BI8">
        <f>Loomakasvatus!C222</f>
        <v>0</v>
      </c>
      <c r="BJ8">
        <f>Loomakasvatus!D222</f>
        <v>0</v>
      </c>
      <c r="BK8">
        <f>IFERROR(VLOOKUP(BI8,EFid!$A$3:$D$31,2,FALSE),0)</f>
        <v>0</v>
      </c>
      <c r="BL8">
        <f t="shared" ref="BL8:BL42" si="9">BK8*BJ8</f>
        <v>0</v>
      </c>
      <c r="BM8" s="21"/>
      <c r="BP8" s="20" t="str">
        <f>Loomakasvatus!B125</f>
        <v>Kasutatud soojusenergia liik 2</v>
      </c>
      <c r="BQ8">
        <f>Loomakasvatus!C125</f>
        <v>0</v>
      </c>
      <c r="BR8">
        <f>Loomakasvatus!D125</f>
        <v>0</v>
      </c>
      <c r="BS8">
        <f>IFERROR(VLOOKUP(BQ8,EFid!$A$3:$D$31,2,FALSE),0)</f>
        <v>0</v>
      </c>
      <c r="BT8">
        <f t="shared" ref="BT8:BT11" si="10">BS8*BR8</f>
        <v>0</v>
      </c>
      <c r="BU8" s="21"/>
      <c r="BW8" s="20" t="str">
        <f>Loomakasvatus!B408</f>
        <v>Kasutatud soojusenergia liik 2</v>
      </c>
      <c r="BX8">
        <f>Loomakasvatus!C408</f>
        <v>0</v>
      </c>
      <c r="BY8">
        <f>Loomakasvatus!D408</f>
        <v>0</v>
      </c>
      <c r="BZ8">
        <f>IFERROR(VLOOKUP(BX8,EFid!$A$3:$D$31,2,FALSE),0)</f>
        <v>0</v>
      </c>
      <c r="CA8">
        <f t="shared" ref="CA8:CA45" si="11">BZ8*BY8</f>
        <v>0</v>
      </c>
      <c r="CB8" s="21"/>
      <c r="CD8" s="20" t="str">
        <f>Loomakasvatus!B584</f>
        <v>Kasutatud soojusenergia liik 2</v>
      </c>
      <c r="CE8">
        <f>Loomakasvatus!C584</f>
        <v>0</v>
      </c>
      <c r="CF8">
        <f>Loomakasvatus!D584</f>
        <v>0</v>
      </c>
      <c r="CG8">
        <f>IFERROR(VLOOKUP(CE8,EFid!$A$3:$D$31,2,FALSE),0)</f>
        <v>0</v>
      </c>
      <c r="CH8">
        <f t="shared" ref="CH8:CH41" si="12">CG8*CF8</f>
        <v>0</v>
      </c>
      <c r="CI8" s="21"/>
      <c r="CK8" s="20">
        <v>0</v>
      </c>
      <c r="CL8">
        <v>0</v>
      </c>
      <c r="CM8">
        <v>0</v>
      </c>
      <c r="CN8">
        <f t="shared" si="5"/>
        <v>0</v>
      </c>
      <c r="CO8" s="21"/>
      <c r="DJ8">
        <f>Tugitegevused!B25</f>
        <v>0</v>
      </c>
      <c r="DK8">
        <f>Tugitegevused!C25</f>
        <v>0</v>
      </c>
      <c r="DL8" t="str">
        <f>IFERROR(VLOOKUP(DJ8,EFid!$A$128:$C$234,3,FALSE),"0")</f>
        <v>0</v>
      </c>
      <c r="DM8">
        <f t="shared" si="6"/>
        <v>0</v>
      </c>
    </row>
    <row r="9" spans="1:127">
      <c r="A9" t="s">
        <v>527</v>
      </c>
      <c r="B9" s="167" t="s">
        <v>528</v>
      </c>
      <c r="C9" s="168"/>
      <c r="D9" s="168"/>
      <c r="E9" s="61">
        <f>IFERROR((E10+E11+E16+E26+E35)*'M1 - TK'!$B$11,0)</f>
        <v>0</v>
      </c>
      <c r="F9" s="61">
        <f>IFERROR((F10+F11+F16+F26+F35)*'M1 - TK'!$B$11,0)</f>
        <v>0</v>
      </c>
      <c r="G9" s="61">
        <f>IFERROR((G10+G11+G16+G26+G35)*'M1 - TK'!$B$11,0)</f>
        <v>0</v>
      </c>
      <c r="H9" s="61">
        <f>IFERROR((H10+H11+H16+H26+H35)*'M1 - TK'!$B$11,0)</f>
        <v>0</v>
      </c>
      <c r="I9" s="61">
        <f>IFERROR((I10+I11+I16+I26+I35)*'M1 - TK'!$B$11,0)</f>
        <v>0</v>
      </c>
      <c r="J9" s="61">
        <f>IFERROR((J10+J11+J16+J26+J35)*'M1 - TK'!$B$11,0)</f>
        <v>0</v>
      </c>
      <c r="K9" s="61">
        <f>IFERROR((K10+K11+K16+K26+K35)*'M1 - TK'!$B$11,0)</f>
        <v>0</v>
      </c>
      <c r="L9" s="61">
        <f>IFERROR((L10+L11+L16+L26+L35)*'M1 - TK'!$B$11,0)</f>
        <v>0</v>
      </c>
      <c r="M9" s="61">
        <f>IFERROR((M10+M11+M16+M26+M35)*'M1 - TK'!$B$11,0)</f>
        <v>0</v>
      </c>
      <c r="N9" s="61">
        <f>IFERROR((N10+N11+N16+N26+N35)*'M1 - TK'!$B$11,0)</f>
        <v>0</v>
      </c>
      <c r="O9" s="61">
        <f>IFERROR((O10+O11+O16+O26+O35)*'M1 - TK'!$B$11,0)</f>
        <v>0</v>
      </c>
      <c r="P9" s="61">
        <f>IFERROR((P10+P11+P16+P26+P35)*'M1 - TK'!$B$11,0)</f>
        <v>0</v>
      </c>
      <c r="Q9" s="61">
        <f>IFERROR((Q10+Q11+Q16+Q26+Q35)*'M1 - TK'!$B$11,0)</f>
        <v>0</v>
      </c>
      <c r="R9" s="61">
        <f>IFERROR((R10+R11+R16+R26+R35)*'M1 - TK'!$B$11,0)</f>
        <v>0</v>
      </c>
      <c r="S9" s="61">
        <f>IFERROR((S10+S11+S16+S26+S35)*'M1 - TK'!$B$11,0)</f>
        <v>0</v>
      </c>
      <c r="T9" s="61">
        <f>IFERROR((T10+T11+T16+T26+T35)*'M1 - TK'!$B$11,0)</f>
        <v>0</v>
      </c>
      <c r="U9" s="61">
        <f>IFERROR((U10+U11+U16+U26+U35)*'M1 - TK'!$B$11,0)</f>
        <v>0</v>
      </c>
      <c r="V9" s="61">
        <f>IFERROR((V10+V11+V16+V26+V35)*'M1 - TK'!$B$11,0)</f>
        <v>0</v>
      </c>
      <c r="W9" s="61">
        <f>IFERROR((W10+W11+W16+W26+W35)*'M1 - TK'!$B$11,0)</f>
        <v>0</v>
      </c>
      <c r="X9" s="61">
        <f>IFERROR((X10+X11+X16+X26+X35)*'M1 - TK'!$B$11,0)</f>
        <v>0</v>
      </c>
      <c r="Y9" s="61">
        <f>IFERROR((Y10+Y11+Y16+Y26+Y35)*'M1 - TK'!$B$11,0)</f>
        <v>0</v>
      </c>
      <c r="Z9" s="61">
        <f>IFERROR((Z10+Z11+Z16+Z26+Z35)*'M1 - TK'!$B$11,0)</f>
        <v>0</v>
      </c>
      <c r="AA9" s="61">
        <f>IFERROR((AA10+AA11+AA16+AA26+AA35)*'M1 - TK'!$B$11,0)</f>
        <v>0</v>
      </c>
      <c r="AB9" s="61">
        <f>IFERROR((AB10+AB11+AB16+AB26+AB35)*'M1 - TK'!$B$11,0)</f>
        <v>0</v>
      </c>
      <c r="AC9" s="61">
        <f>IFERROR((AC10+AC11+AC16+AC26+AC35)*'M1 - TK'!$B$11,0)</f>
        <v>0</v>
      </c>
      <c r="AD9" s="61">
        <f>IFERROR((AD10+AD11+AD16+AD26+AD35)*'M1 - TK'!$B$11,0)</f>
        <v>0</v>
      </c>
      <c r="AE9" s="61">
        <f>IFERROR((AE10+AE11+AE16+AE26+AE35)*'M1 - TK'!$B$11,0)</f>
        <v>0</v>
      </c>
      <c r="AF9" s="61">
        <f>IFERROR((AF10+AF11+AF16+AF26+AF35)*'M1 - TK'!$B$11,0)</f>
        <v>0</v>
      </c>
      <c r="AG9" s="61">
        <f>IFERROR((AG10+AG11+AG16+AG26+AG35)*'M1 - TK'!$B$11,0)</f>
        <v>0</v>
      </c>
      <c r="AH9" s="61">
        <f>IFERROR((AH10+AH11+AH16+AH26+AH35)*'M1 - TK'!$B$11,0)</f>
        <v>0</v>
      </c>
      <c r="AI9" s="61">
        <f>IFERROR((AI10+AI11+AI16+AI26+AI35)*'M1 - TK'!$B$11,0)</f>
        <v>0</v>
      </c>
      <c r="AJ9" s="61">
        <f>IFERROR((AJ10+AJ11+AJ16+AJ26+AJ35)*'M1 - TK'!$B$11,0)</f>
        <v>0</v>
      </c>
      <c r="AK9" s="61">
        <f>IFERROR((AK10+AK11+AK16+AK26+AK35)*'M1 - TK'!$B$11,0)</f>
        <v>0</v>
      </c>
      <c r="AL9" s="61">
        <f>IFERROR((AL10+AL11+AL16+AL26+AL35)*'M1 - TK'!$B$11,0)</f>
        <v>0</v>
      </c>
      <c r="AM9" s="61">
        <f>IFERROR((AM10+AM11+AM16+AM26+AM35)*'M1 - TK'!$B$11,0)</f>
        <v>0</v>
      </c>
      <c r="AN9" s="61">
        <f>IFERROR((AN10+AN11+AN16+AN26+AN35)*'M1 - TK'!$B$11,0)</f>
        <v>0</v>
      </c>
      <c r="AO9" s="61">
        <f>IFERROR((AO10+AO11+AO16+AO26+AO35)*'M1 - TK'!$B$11,0)</f>
        <v>0</v>
      </c>
      <c r="AP9" s="61">
        <f>IFERROR((AP10+AP11+AP16+AP26+AP35)*'M1 - TK'!$B$11,0)</f>
        <v>0</v>
      </c>
      <c r="AQ9" s="61">
        <f>IFERROR((AQ10+AQ11+AQ16+AQ26+AQ35)*'M1 - TK'!$B$11,0)</f>
        <v>0</v>
      </c>
      <c r="AR9" s="61">
        <f>IFERROR((AR10+AR11+AR16+AR26+AR35)*'M1 - TK'!$B$11,0)</f>
        <v>0</v>
      </c>
      <c r="AS9" s="42">
        <f t="shared" ref="AS9:AS46" si="13">SUM(E9:AR9)</f>
        <v>0</v>
      </c>
      <c r="AT9" t="s">
        <v>527</v>
      </c>
      <c r="AV9" s="1161">
        <f>75/100</f>
        <v>0.75</v>
      </c>
      <c r="AY9" s="20" t="str">
        <f>Taimekasvatus!D156</f>
        <v>Kütuseliik 1</v>
      </c>
      <c r="AZ9">
        <f>Taimekasvatus!E156</f>
        <v>0</v>
      </c>
      <c r="BA9">
        <f>Taimekasvatus!F156</f>
        <v>0</v>
      </c>
      <c r="BB9">
        <f>IFERROR(VLOOKUP(AZ9,EFid!$A$50:$B$73,2,FALSE),0)</f>
        <v>0</v>
      </c>
      <c r="BC9">
        <f>IFERROR(VLOOKUP(AZ9,EFid!A50:C73,3,FALSE),0)</f>
        <v>0</v>
      </c>
      <c r="BD9" s="21">
        <f>BA9*BB9</f>
        <v>0</v>
      </c>
      <c r="BH9" s="20" t="str">
        <f>Loomakasvatus!B223</f>
        <v>Kasutatud soojusenergia liik 3</v>
      </c>
      <c r="BI9">
        <f>Loomakasvatus!C223</f>
        <v>0</v>
      </c>
      <c r="BJ9">
        <f>Loomakasvatus!D223</f>
        <v>0</v>
      </c>
      <c r="BK9">
        <f>IFERROR(VLOOKUP(BI9,EFid!$A$3:$D$31,2,FALSE),0)</f>
        <v>0</v>
      </c>
      <c r="BL9">
        <f t="shared" si="9"/>
        <v>0</v>
      </c>
      <c r="BM9" s="21"/>
      <c r="BP9" s="20" t="str">
        <f>Loomakasvatus!B126</f>
        <v>Kasutatud soojusenergia liik 3</v>
      </c>
      <c r="BQ9">
        <f>Loomakasvatus!C126</f>
        <v>0</v>
      </c>
      <c r="BR9">
        <f>Loomakasvatus!D126</f>
        <v>0</v>
      </c>
      <c r="BS9">
        <f>IFERROR(VLOOKUP(BQ9,EFid!$A$3:$D$31,2,FALSE),0)</f>
        <v>0</v>
      </c>
      <c r="BT9">
        <f t="shared" si="10"/>
        <v>0</v>
      </c>
      <c r="BU9" s="21"/>
      <c r="BW9" s="20" t="str">
        <f>Loomakasvatus!B409</f>
        <v>Kasutatud soojusenergia liik 3</v>
      </c>
      <c r="BX9">
        <f>Loomakasvatus!C409</f>
        <v>0</v>
      </c>
      <c r="BY9">
        <f>Loomakasvatus!D409</f>
        <v>0</v>
      </c>
      <c r="BZ9">
        <f>IFERROR(VLOOKUP(BX9,EFid!$A$3:$D$31,2,FALSE),0)</f>
        <v>0</v>
      </c>
      <c r="CA9">
        <f t="shared" si="11"/>
        <v>0</v>
      </c>
      <c r="CB9" s="21"/>
      <c r="CD9" s="20" t="str">
        <f>Loomakasvatus!B585</f>
        <v>Kasutatud soojusenergia liik 3</v>
      </c>
      <c r="CE9">
        <f>Loomakasvatus!C585</f>
        <v>0</v>
      </c>
      <c r="CF9">
        <f>Loomakasvatus!D585</f>
        <v>0</v>
      </c>
      <c r="CG9">
        <f>IFERROR(VLOOKUP(CE9,EFid!$A$3:$D$31,2,FALSE),0)</f>
        <v>0</v>
      </c>
      <c r="CH9">
        <f t="shared" si="12"/>
        <v>0</v>
      </c>
      <c r="CI9" s="21"/>
      <c r="CK9" s="20">
        <v>0</v>
      </c>
      <c r="CL9">
        <v>0</v>
      </c>
      <c r="CM9">
        <v>0</v>
      </c>
      <c r="CN9">
        <f t="shared" si="5"/>
        <v>0</v>
      </c>
      <c r="CO9" s="21"/>
      <c r="DJ9">
        <f>Tugitegevused!B26</f>
        <v>0</v>
      </c>
      <c r="DK9">
        <f>Tugitegevused!C26</f>
        <v>0</v>
      </c>
      <c r="DL9" t="str">
        <f>IFERROR(VLOOKUP(DJ9,EFid!$A$128:$C$234,3,FALSE),"0")</f>
        <v>0</v>
      </c>
      <c r="DM9">
        <f t="shared" si="6"/>
        <v>0</v>
      </c>
    </row>
    <row r="10" spans="1:127">
      <c r="A10" s="126" t="s">
        <v>529</v>
      </c>
      <c r="B10" s="165" t="s">
        <v>530</v>
      </c>
      <c r="C10" s="166"/>
      <c r="D10" s="166"/>
      <c r="E10" s="62">
        <f>Taimekasvatus!G49</f>
        <v>0</v>
      </c>
      <c r="F10" s="62">
        <f>Taimekasvatus!H49</f>
        <v>0</v>
      </c>
      <c r="G10" s="62">
        <f>Taimekasvatus!I49</f>
        <v>0</v>
      </c>
      <c r="H10" s="62">
        <f>Taimekasvatus!J49</f>
        <v>0</v>
      </c>
      <c r="I10" s="62">
        <f>Taimekasvatus!K49</f>
        <v>0</v>
      </c>
      <c r="J10" s="62">
        <f>Taimekasvatus!L49</f>
        <v>0</v>
      </c>
      <c r="K10" s="62">
        <f>Taimekasvatus!M49</f>
        <v>0</v>
      </c>
      <c r="L10" s="62">
        <f>Taimekasvatus!N49</f>
        <v>0</v>
      </c>
      <c r="M10" s="62">
        <f>Taimekasvatus!O49</f>
        <v>0</v>
      </c>
      <c r="N10" s="62">
        <f>Taimekasvatus!P49</f>
        <v>0</v>
      </c>
      <c r="O10" s="62">
        <f>Taimekasvatus!Q49</f>
        <v>0</v>
      </c>
      <c r="P10" s="62">
        <f>Taimekasvatus!R49</f>
        <v>0</v>
      </c>
      <c r="Q10" s="62">
        <f>Taimekasvatus!S49</f>
        <v>0</v>
      </c>
      <c r="R10" s="62">
        <f>Taimekasvatus!T49</f>
        <v>0</v>
      </c>
      <c r="S10" s="62">
        <f>Taimekasvatus!U49</f>
        <v>0</v>
      </c>
      <c r="T10" s="62">
        <f>Taimekasvatus!V49</f>
        <v>0</v>
      </c>
      <c r="U10" s="62">
        <f>Taimekasvatus!W49</f>
        <v>0</v>
      </c>
      <c r="V10" s="62">
        <f>Taimekasvatus!X49</f>
        <v>0</v>
      </c>
      <c r="W10" s="62">
        <f>Taimekasvatus!Y49</f>
        <v>0</v>
      </c>
      <c r="X10" s="62">
        <f>Taimekasvatus!Z49</f>
        <v>0</v>
      </c>
      <c r="Y10" s="62">
        <f>Taimekasvatus!AA49</f>
        <v>0</v>
      </c>
      <c r="Z10" s="62">
        <f>Taimekasvatus!AB49</f>
        <v>0</v>
      </c>
      <c r="AA10" s="62">
        <f>Taimekasvatus!AC49</f>
        <v>0</v>
      </c>
      <c r="AB10" s="62">
        <f>Taimekasvatus!AD49</f>
        <v>0</v>
      </c>
      <c r="AC10" s="62">
        <f>Taimekasvatus!AE49</f>
        <v>0</v>
      </c>
      <c r="AD10" s="62">
        <f>Taimekasvatus!AF49</f>
        <v>0</v>
      </c>
      <c r="AE10" s="62">
        <f>Taimekasvatus!AG49</f>
        <v>0</v>
      </c>
      <c r="AF10" s="62">
        <f>Taimekasvatus!AH49</f>
        <v>0</v>
      </c>
      <c r="AG10" s="62">
        <f>Taimekasvatus!AI49</f>
        <v>0</v>
      </c>
      <c r="AH10" s="62">
        <f>Taimekasvatus!AJ49</f>
        <v>0</v>
      </c>
      <c r="AI10" s="62">
        <f>Taimekasvatus!AK49</f>
        <v>0</v>
      </c>
      <c r="AJ10" s="62">
        <f>Taimekasvatus!AL49</f>
        <v>0</v>
      </c>
      <c r="AK10" s="62">
        <f>Taimekasvatus!AM49</f>
        <v>0</v>
      </c>
      <c r="AL10" s="62">
        <f>Taimekasvatus!AN49</f>
        <v>0</v>
      </c>
      <c r="AM10" s="62">
        <f>Taimekasvatus!AO49</f>
        <v>0</v>
      </c>
      <c r="AN10" s="62">
        <f>Taimekasvatus!AP49</f>
        <v>0</v>
      </c>
      <c r="AO10" s="62">
        <f>Taimekasvatus!AQ49</f>
        <v>0</v>
      </c>
      <c r="AP10" s="62">
        <f>Taimekasvatus!AR49</f>
        <v>0</v>
      </c>
      <c r="AQ10" s="62">
        <f>Taimekasvatus!AS49</f>
        <v>0</v>
      </c>
      <c r="AR10" s="62">
        <f>Taimekasvatus!AT49</f>
        <v>0</v>
      </c>
      <c r="AS10" s="42">
        <f t="shared" si="13"/>
        <v>0</v>
      </c>
      <c r="AT10" s="126" t="s">
        <v>529</v>
      </c>
      <c r="AU10" s="1" t="s">
        <v>73</v>
      </c>
      <c r="AV10" s="1161">
        <f>100/100</f>
        <v>1</v>
      </c>
      <c r="AY10" s="20" t="str">
        <f>Taimekasvatus!D157</f>
        <v>Kütuseliik 2</v>
      </c>
      <c r="AZ10">
        <f>Taimekasvatus!E157</f>
        <v>0</v>
      </c>
      <c r="BA10">
        <f>Taimekasvatus!F157</f>
        <v>0</v>
      </c>
      <c r="BB10">
        <f>IFERROR(VLOOKUP(AZ10,EFid!$A$50:$B$73,2,FALSE),0)</f>
        <v>0</v>
      </c>
      <c r="BC10">
        <f>IFERROR(VLOOKUP(AZ10,EFid!A51:C74,3,FALSE),0)</f>
        <v>0</v>
      </c>
      <c r="BD10" s="21">
        <f t="shared" ref="BD10:BD12" si="14">BA10*BB10</f>
        <v>0</v>
      </c>
      <c r="BH10" s="20" t="str">
        <f>Loomakasvatus!B224</f>
        <v>Kasutatud elektrienergia liik 1</v>
      </c>
      <c r="BI10">
        <f>Loomakasvatus!C224</f>
        <v>0</v>
      </c>
      <c r="BJ10">
        <f>Loomakasvatus!D224</f>
        <v>0</v>
      </c>
      <c r="BK10">
        <f>IFERROR(VLOOKUP(BI10,EFid!$A$3:$D$31,2,FALSE),0)</f>
        <v>0</v>
      </c>
      <c r="BL10">
        <f t="shared" si="9"/>
        <v>0</v>
      </c>
      <c r="BM10" s="445">
        <f>SUM(BL10:BL11)</f>
        <v>0</v>
      </c>
      <c r="BP10" s="20" t="str">
        <f>Loomakasvatus!B127</f>
        <v>Kasutatud elektrienergia liik 1</v>
      </c>
      <c r="BQ10">
        <f>Loomakasvatus!C127</f>
        <v>0</v>
      </c>
      <c r="BR10">
        <f>Loomakasvatus!D127</f>
        <v>0</v>
      </c>
      <c r="BS10">
        <f>IFERROR(VLOOKUP(BQ10,EFid!$A$3:$D$31,2,FALSE),0)</f>
        <v>0</v>
      </c>
      <c r="BT10">
        <f t="shared" si="10"/>
        <v>0</v>
      </c>
      <c r="BU10" s="445">
        <f>SUM(BT10:BT11)</f>
        <v>0</v>
      </c>
      <c r="BW10" s="20" t="str">
        <f>Loomakasvatus!B410</f>
        <v>Kasutatud elektrienergia liik 1</v>
      </c>
      <c r="BX10">
        <f>Loomakasvatus!C410</f>
        <v>0</v>
      </c>
      <c r="BY10">
        <f>Loomakasvatus!D410</f>
        <v>0</v>
      </c>
      <c r="BZ10">
        <f>IFERROR(VLOOKUP(BX10,EFid!$A$3:$D$31,2,FALSE),0)</f>
        <v>0</v>
      </c>
      <c r="CA10">
        <f t="shared" si="11"/>
        <v>0</v>
      </c>
      <c r="CB10" s="445">
        <f>SUM(CA10:CA11)</f>
        <v>0</v>
      </c>
      <c r="CD10" s="20" t="str">
        <f>Loomakasvatus!B586</f>
        <v>Kasutatud elektrienergia liik 1</v>
      </c>
      <c r="CE10">
        <f>Loomakasvatus!C586</f>
        <v>0</v>
      </c>
      <c r="CF10">
        <f>Loomakasvatus!D586</f>
        <v>0</v>
      </c>
      <c r="CG10">
        <f>IFERROR(VLOOKUP(CE10,EFid!$A$3:$D$31,2,FALSE),0)</f>
        <v>0</v>
      </c>
      <c r="CH10">
        <f t="shared" si="12"/>
        <v>0</v>
      </c>
      <c r="CI10" s="445">
        <f>SUM(CH10:CH11)</f>
        <v>0</v>
      </c>
      <c r="CK10" s="20"/>
      <c r="CO10" s="21"/>
      <c r="DJ10">
        <f>Tugitegevused!B27</f>
        <v>0</v>
      </c>
      <c r="DK10">
        <f>Tugitegevused!C27</f>
        <v>0</v>
      </c>
      <c r="DL10" t="str">
        <f>IFERROR(VLOOKUP(DJ10,EFid!$A$128:$C$234,3,FALSE),"0")</f>
        <v>0</v>
      </c>
      <c r="DM10">
        <f t="shared" si="6"/>
        <v>0</v>
      </c>
    </row>
    <row r="11" spans="1:127">
      <c r="A11" s="1" t="s">
        <v>531</v>
      </c>
      <c r="B11" s="163" t="s">
        <v>532</v>
      </c>
      <c r="C11" s="160"/>
      <c r="D11" s="160"/>
      <c r="E11" s="61">
        <f>SUM(E12:E15)</f>
        <v>0</v>
      </c>
      <c r="F11" s="61">
        <f t="shared" ref="F11:V11" si="15">SUM(F12:F15)</f>
        <v>0</v>
      </c>
      <c r="G11" s="61">
        <f t="shared" si="15"/>
        <v>0</v>
      </c>
      <c r="H11" s="61">
        <f t="shared" si="15"/>
        <v>0</v>
      </c>
      <c r="I11" s="61">
        <f t="shared" si="15"/>
        <v>0</v>
      </c>
      <c r="J11" s="61">
        <f t="shared" si="15"/>
        <v>0</v>
      </c>
      <c r="K11" s="61">
        <f t="shared" si="15"/>
        <v>0</v>
      </c>
      <c r="L11" s="61">
        <f t="shared" si="15"/>
        <v>0</v>
      </c>
      <c r="M11" s="61">
        <f t="shared" si="15"/>
        <v>0</v>
      </c>
      <c r="N11" s="61">
        <f t="shared" si="15"/>
        <v>0</v>
      </c>
      <c r="O11" s="61">
        <f t="shared" si="15"/>
        <v>0</v>
      </c>
      <c r="P11" s="61">
        <f t="shared" si="15"/>
        <v>0</v>
      </c>
      <c r="Q11" s="61">
        <f t="shared" si="15"/>
        <v>0</v>
      </c>
      <c r="R11" s="61">
        <f t="shared" si="15"/>
        <v>0</v>
      </c>
      <c r="S11" s="61">
        <f t="shared" si="15"/>
        <v>0</v>
      </c>
      <c r="T11" s="61">
        <f t="shared" si="15"/>
        <v>0</v>
      </c>
      <c r="U11" s="61">
        <f t="shared" si="15"/>
        <v>0</v>
      </c>
      <c r="V11" s="61">
        <f t="shared" si="15"/>
        <v>0</v>
      </c>
      <c r="W11" s="61">
        <f t="shared" ref="W11" si="16">SUM(W12:W15)</f>
        <v>0</v>
      </c>
      <c r="X11" s="61">
        <f t="shared" ref="X11" si="17">SUM(X12:X15)</f>
        <v>0</v>
      </c>
      <c r="Y11" s="61">
        <f t="shared" ref="Y11" si="18">SUM(Y12:Y15)</f>
        <v>0</v>
      </c>
      <c r="Z11" s="61">
        <f t="shared" ref="Z11" si="19">SUM(Z12:Z15)</f>
        <v>0</v>
      </c>
      <c r="AA11" s="61">
        <f t="shared" ref="AA11" si="20">SUM(AA12:AA15)</f>
        <v>0</v>
      </c>
      <c r="AB11" s="61">
        <f t="shared" ref="AB11" si="21">SUM(AB12:AB15)</f>
        <v>0</v>
      </c>
      <c r="AC11" s="61">
        <f t="shared" ref="AC11" si="22">SUM(AC12:AC15)</f>
        <v>0</v>
      </c>
      <c r="AD11" s="61">
        <f t="shared" ref="AD11" si="23">SUM(AD12:AD15)</f>
        <v>0</v>
      </c>
      <c r="AE11" s="61">
        <f t="shared" ref="AE11" si="24">SUM(AE12:AE15)</f>
        <v>0</v>
      </c>
      <c r="AF11" s="61">
        <f t="shared" ref="AF11" si="25">SUM(AF12:AF15)</f>
        <v>0</v>
      </c>
      <c r="AG11" s="61">
        <f t="shared" ref="AG11" si="26">SUM(AG12:AG15)</f>
        <v>0</v>
      </c>
      <c r="AH11" s="61">
        <f t="shared" ref="AH11" si="27">SUM(AH12:AH15)</f>
        <v>0</v>
      </c>
      <c r="AI11" s="61">
        <f t="shared" ref="AI11" si="28">SUM(AI12:AI15)</f>
        <v>0</v>
      </c>
      <c r="AJ11" s="61">
        <f t="shared" ref="AJ11" si="29">SUM(AJ12:AJ15)</f>
        <v>0</v>
      </c>
      <c r="AK11" s="61">
        <f t="shared" ref="AK11" si="30">SUM(AK12:AK15)</f>
        <v>0</v>
      </c>
      <c r="AL11" s="61">
        <f t="shared" ref="AL11" si="31">SUM(AL12:AL15)</f>
        <v>0</v>
      </c>
      <c r="AM11" s="61">
        <f t="shared" ref="AM11" si="32">SUM(AM12:AM15)</f>
        <v>0</v>
      </c>
      <c r="AN11" s="61">
        <f t="shared" ref="AN11" si="33">SUM(AN12:AN15)</f>
        <v>0</v>
      </c>
      <c r="AO11" s="61">
        <f t="shared" ref="AO11" si="34">SUM(AO12:AO15)</f>
        <v>0</v>
      </c>
      <c r="AP11" s="61">
        <f t="shared" ref="AP11" si="35">SUM(AP12:AP15)</f>
        <v>0</v>
      </c>
      <c r="AQ11" s="61">
        <f t="shared" ref="AQ11:AR11" si="36">SUM(AQ12:AQ15)</f>
        <v>0</v>
      </c>
      <c r="AR11" s="61">
        <f t="shared" si="36"/>
        <v>0</v>
      </c>
      <c r="AS11" s="42">
        <f t="shared" si="13"/>
        <v>0</v>
      </c>
      <c r="AT11" s="1" t="s">
        <v>531</v>
      </c>
      <c r="AU11" s="1" t="s">
        <v>73</v>
      </c>
      <c r="AY11" s="20" t="str">
        <f>Taimekasvatus!D158</f>
        <v>Kütuseliik 3</v>
      </c>
      <c r="AZ11">
        <f>Taimekasvatus!E158</f>
        <v>0</v>
      </c>
      <c r="BA11">
        <f>Taimekasvatus!F158</f>
        <v>0</v>
      </c>
      <c r="BB11">
        <f>IFERROR(VLOOKUP(AZ11,EFid!$A$50:$B$73,2,FALSE),0)</f>
        <v>0</v>
      </c>
      <c r="BC11">
        <f>IFERROR(VLOOKUP(AZ11,EFid!A52:C75,3,FALSE),0)</f>
        <v>0</v>
      </c>
      <c r="BD11" s="21">
        <f t="shared" si="14"/>
        <v>0</v>
      </c>
      <c r="BH11" s="20" t="str">
        <f>Loomakasvatus!B225</f>
        <v>Kasutatud elektrienergia liik 2</v>
      </c>
      <c r="BI11">
        <f>Loomakasvatus!C225</f>
        <v>0</v>
      </c>
      <c r="BJ11">
        <f>Loomakasvatus!D225</f>
        <v>0</v>
      </c>
      <c r="BK11">
        <f>IFERROR(VLOOKUP(BI11,EFid!$A$3:$D$31,2,FALSE),0)</f>
        <v>0</v>
      </c>
      <c r="BL11">
        <f t="shared" si="9"/>
        <v>0</v>
      </c>
      <c r="BM11" s="21"/>
      <c r="BP11" s="20" t="str">
        <f>Loomakasvatus!B128</f>
        <v>Kasutatud elektrienergia liik 2</v>
      </c>
      <c r="BQ11">
        <f>Loomakasvatus!C128</f>
        <v>0</v>
      </c>
      <c r="BR11">
        <f>Loomakasvatus!D128</f>
        <v>0</v>
      </c>
      <c r="BS11">
        <f>IFERROR(VLOOKUP(BQ11,EFid!$A$3:$D$31,2,FALSE),0)</f>
        <v>0</v>
      </c>
      <c r="BT11">
        <f t="shared" si="10"/>
        <v>0</v>
      </c>
      <c r="BU11" s="21"/>
      <c r="BW11" s="20" t="str">
        <f>Loomakasvatus!B411</f>
        <v>Kasutatud elektrienergia liik 2</v>
      </c>
      <c r="BX11">
        <f>Loomakasvatus!C411</f>
        <v>0</v>
      </c>
      <c r="BY11">
        <f>Loomakasvatus!D411</f>
        <v>0</v>
      </c>
      <c r="BZ11">
        <f>IFERROR(VLOOKUP(BX11,EFid!$A$3:$D$31,2,FALSE),0)</f>
        <v>0</v>
      </c>
      <c r="CA11">
        <f t="shared" si="11"/>
        <v>0</v>
      </c>
      <c r="CB11" s="21"/>
      <c r="CD11" s="20" t="str">
        <f>Loomakasvatus!B587</f>
        <v>Kasutatud elektrienergia liik 2</v>
      </c>
      <c r="CE11">
        <f>Loomakasvatus!C587</f>
        <v>0</v>
      </c>
      <c r="CF11">
        <f>Loomakasvatus!D587</f>
        <v>0</v>
      </c>
      <c r="CG11">
        <f>IFERROR(VLOOKUP(CE11,EFid!$A$3:$D$31,2,FALSE),0)</f>
        <v>0</v>
      </c>
      <c r="CH11">
        <f t="shared" si="12"/>
        <v>0</v>
      </c>
      <c r="CI11" s="21"/>
      <c r="CK11" s="80" t="s">
        <v>178</v>
      </c>
      <c r="CO11" s="21"/>
      <c r="DJ11">
        <f>Tugitegevused!B28</f>
        <v>0</v>
      </c>
      <c r="DK11">
        <f>Tugitegevused!C28</f>
        <v>0</v>
      </c>
      <c r="DL11" t="str">
        <f>IFERROR(VLOOKUP(DJ11,EFid!$A$128:$C$234,3,FALSE),"0")</f>
        <v>0</v>
      </c>
      <c r="DM11">
        <f t="shared" si="6"/>
        <v>0</v>
      </c>
    </row>
    <row r="12" spans="1:127" ht="15" thickBot="1">
      <c r="B12" s="6"/>
      <c r="C12" s="33" t="s">
        <v>533</v>
      </c>
      <c r="E12" s="62">
        <f>Taimekasvatus!G45</f>
        <v>0</v>
      </c>
      <c r="F12" s="62">
        <f>Taimekasvatus!H45</f>
        <v>0</v>
      </c>
      <c r="G12" s="62">
        <f>Taimekasvatus!I45</f>
        <v>0</v>
      </c>
      <c r="H12" s="62">
        <f>Taimekasvatus!J45</f>
        <v>0</v>
      </c>
      <c r="I12" s="62">
        <f>Taimekasvatus!K45</f>
        <v>0</v>
      </c>
      <c r="J12" s="62">
        <f>Taimekasvatus!L45</f>
        <v>0</v>
      </c>
      <c r="K12" s="62">
        <f>Taimekasvatus!M45</f>
        <v>0</v>
      </c>
      <c r="L12" s="62">
        <f>Taimekasvatus!N45</f>
        <v>0</v>
      </c>
      <c r="M12" s="62">
        <f>Taimekasvatus!O45</f>
        <v>0</v>
      </c>
      <c r="N12" s="62">
        <f>Taimekasvatus!P45</f>
        <v>0</v>
      </c>
      <c r="O12" s="62">
        <f>Taimekasvatus!Q45</f>
        <v>0</v>
      </c>
      <c r="P12" s="62">
        <f>Taimekasvatus!R45</f>
        <v>0</v>
      </c>
      <c r="Q12" s="62">
        <f>Taimekasvatus!S45</f>
        <v>0</v>
      </c>
      <c r="R12" s="62">
        <f>Taimekasvatus!T45</f>
        <v>0</v>
      </c>
      <c r="S12" s="62">
        <f>Taimekasvatus!U45</f>
        <v>0</v>
      </c>
      <c r="T12" s="62">
        <f>Taimekasvatus!V45</f>
        <v>0</v>
      </c>
      <c r="U12" s="62">
        <f>Taimekasvatus!W45</f>
        <v>0</v>
      </c>
      <c r="V12" s="62">
        <f>Taimekasvatus!X45</f>
        <v>0</v>
      </c>
      <c r="W12" s="62">
        <f>Taimekasvatus!Y45</f>
        <v>0</v>
      </c>
      <c r="X12" s="62">
        <f>Taimekasvatus!Z45</f>
        <v>0</v>
      </c>
      <c r="Y12" s="62">
        <f>Taimekasvatus!AA45</f>
        <v>0</v>
      </c>
      <c r="Z12" s="62">
        <f>Taimekasvatus!AB45</f>
        <v>0</v>
      </c>
      <c r="AA12" s="62">
        <f>Taimekasvatus!AC45</f>
        <v>0</v>
      </c>
      <c r="AB12" s="62">
        <f>Taimekasvatus!AD45</f>
        <v>0</v>
      </c>
      <c r="AC12" s="62">
        <f>Taimekasvatus!AE45</f>
        <v>0</v>
      </c>
      <c r="AD12" s="62">
        <f>Taimekasvatus!AF45</f>
        <v>0</v>
      </c>
      <c r="AE12" s="62">
        <f>Taimekasvatus!AG45</f>
        <v>0</v>
      </c>
      <c r="AF12" s="62">
        <f>Taimekasvatus!AH45</f>
        <v>0</v>
      </c>
      <c r="AG12" s="62">
        <f>Taimekasvatus!AI45</f>
        <v>0</v>
      </c>
      <c r="AH12" s="62">
        <f>Taimekasvatus!AJ45</f>
        <v>0</v>
      </c>
      <c r="AI12" s="62">
        <f>Taimekasvatus!AK45</f>
        <v>0</v>
      </c>
      <c r="AJ12" s="62">
        <f>Taimekasvatus!AL45</f>
        <v>0</v>
      </c>
      <c r="AK12" s="62">
        <f>Taimekasvatus!AM45</f>
        <v>0</v>
      </c>
      <c r="AL12" s="62">
        <f>Taimekasvatus!AN45</f>
        <v>0</v>
      </c>
      <c r="AM12" s="62">
        <f>Taimekasvatus!AO45</f>
        <v>0</v>
      </c>
      <c r="AN12" s="62">
        <f>Taimekasvatus!AP45</f>
        <v>0</v>
      </c>
      <c r="AO12" s="62">
        <f>Taimekasvatus!AQ45</f>
        <v>0</v>
      </c>
      <c r="AP12" s="62">
        <f>Taimekasvatus!AR45</f>
        <v>0</v>
      </c>
      <c r="AQ12" s="62">
        <f>Taimekasvatus!AS45</f>
        <v>0</v>
      </c>
      <c r="AR12" s="62">
        <f>Taimekasvatus!AT45</f>
        <v>0</v>
      </c>
      <c r="AS12" s="42">
        <f t="shared" si="13"/>
        <v>0</v>
      </c>
      <c r="AU12" t="s">
        <v>73</v>
      </c>
      <c r="AY12" s="58" t="str">
        <f>Taimekasvatus!D159</f>
        <v>Kütuseliik 4</v>
      </c>
      <c r="AZ12" s="36">
        <f>Taimekasvatus!E159</f>
        <v>0</v>
      </c>
      <c r="BA12" s="36">
        <f>Taimekasvatus!F159</f>
        <v>0</v>
      </c>
      <c r="BB12">
        <f>IFERROR(VLOOKUP(AZ12,EFid!$A$50:$B$73,2,FALSE),0)</f>
        <v>0</v>
      </c>
      <c r="BC12" s="36">
        <f>IFERROR(VLOOKUP(AZ12,EFid!A54:C76,3,FALSE),0)</f>
        <v>0</v>
      </c>
      <c r="BD12" s="37">
        <f t="shared" si="14"/>
        <v>0</v>
      </c>
      <c r="BH12" s="80" t="s">
        <v>534</v>
      </c>
      <c r="BM12" s="21"/>
      <c r="BP12" s="80" t="s">
        <v>534</v>
      </c>
      <c r="BU12" s="21"/>
      <c r="BW12" s="80" t="s">
        <v>534</v>
      </c>
      <c r="CA12">
        <f t="shared" si="11"/>
        <v>0</v>
      </c>
      <c r="CB12" s="21"/>
      <c r="CD12" s="80" t="s">
        <v>534</v>
      </c>
      <c r="CI12" s="21"/>
      <c r="CK12" s="20" t="str" cm="1">
        <f t="array" ref="CK12:CM16">Loomakasvatus!C268:E272</f>
        <v>Sööt, mille heitetegur on teada</v>
      </c>
      <c r="CL12" t="str">
        <v>Kogus (kg)</v>
      </c>
      <c r="CM12" t="str">
        <v>Heitetegur (kg CO2-ekv/kg)</v>
      </c>
      <c r="CN12" t="s">
        <v>517</v>
      </c>
      <c r="CO12" s="21"/>
      <c r="DJ12">
        <f>Tugitegevused!B29</f>
        <v>0</v>
      </c>
      <c r="DK12">
        <f>Tugitegevused!C29</f>
        <v>0</v>
      </c>
      <c r="DL12" t="str">
        <f>IFERROR(VLOOKUP(DJ12,EFid!$A$128:$C$234,3,FALSE),"0")</f>
        <v>0</v>
      </c>
      <c r="DM12">
        <f t="shared" si="6"/>
        <v>0</v>
      </c>
    </row>
    <row r="13" spans="1:127">
      <c r="B13" s="6"/>
      <c r="C13" s="33" t="s">
        <v>535</v>
      </c>
      <c r="E13" s="62">
        <f>Taimekasvatus!G46</f>
        <v>0</v>
      </c>
      <c r="F13" s="62">
        <f>Taimekasvatus!H46</f>
        <v>0</v>
      </c>
      <c r="G13" s="62">
        <f>Taimekasvatus!I46</f>
        <v>0</v>
      </c>
      <c r="H13" s="62">
        <f>Taimekasvatus!J46</f>
        <v>0</v>
      </c>
      <c r="I13" s="62">
        <f>Taimekasvatus!K46</f>
        <v>0</v>
      </c>
      <c r="J13" s="62">
        <f>Taimekasvatus!L46</f>
        <v>0</v>
      </c>
      <c r="K13" s="62">
        <f>Taimekasvatus!M46</f>
        <v>0</v>
      </c>
      <c r="L13" s="62">
        <f>Taimekasvatus!N46</f>
        <v>0</v>
      </c>
      <c r="M13" s="62">
        <f>Taimekasvatus!O46</f>
        <v>0</v>
      </c>
      <c r="N13" s="62">
        <f>Taimekasvatus!P46</f>
        <v>0</v>
      </c>
      <c r="O13" s="62">
        <f>Taimekasvatus!Q46</f>
        <v>0</v>
      </c>
      <c r="P13" s="62">
        <f>Taimekasvatus!R46</f>
        <v>0</v>
      </c>
      <c r="Q13" s="62">
        <f>Taimekasvatus!S46</f>
        <v>0</v>
      </c>
      <c r="R13" s="62">
        <f>Taimekasvatus!T46</f>
        <v>0</v>
      </c>
      <c r="S13" s="62">
        <f>Taimekasvatus!U46</f>
        <v>0</v>
      </c>
      <c r="T13" s="62">
        <f>Taimekasvatus!V46</f>
        <v>0</v>
      </c>
      <c r="U13" s="62">
        <f>Taimekasvatus!W46</f>
        <v>0</v>
      </c>
      <c r="V13" s="62">
        <f>Taimekasvatus!X46</f>
        <v>0</v>
      </c>
      <c r="W13" s="62">
        <f>Taimekasvatus!Y46</f>
        <v>0</v>
      </c>
      <c r="X13" s="62">
        <f>Taimekasvatus!Z46</f>
        <v>0</v>
      </c>
      <c r="Y13" s="62">
        <f>Taimekasvatus!AA46</f>
        <v>0</v>
      </c>
      <c r="Z13" s="62">
        <f>Taimekasvatus!AB46</f>
        <v>0</v>
      </c>
      <c r="AA13" s="62">
        <f>Taimekasvatus!AC46</f>
        <v>0</v>
      </c>
      <c r="AB13" s="62">
        <f>Taimekasvatus!AD46</f>
        <v>0</v>
      </c>
      <c r="AC13" s="62">
        <f>Taimekasvatus!AE46</f>
        <v>0</v>
      </c>
      <c r="AD13" s="62">
        <f>Taimekasvatus!AF46</f>
        <v>0</v>
      </c>
      <c r="AE13" s="62">
        <f>Taimekasvatus!AG46</f>
        <v>0</v>
      </c>
      <c r="AF13" s="62">
        <f>Taimekasvatus!AH46</f>
        <v>0</v>
      </c>
      <c r="AG13" s="62">
        <f>Taimekasvatus!AI46</f>
        <v>0</v>
      </c>
      <c r="AH13" s="62">
        <f>Taimekasvatus!AJ46</f>
        <v>0</v>
      </c>
      <c r="AI13" s="62">
        <f>Taimekasvatus!AK46</f>
        <v>0</v>
      </c>
      <c r="AJ13" s="62">
        <f>Taimekasvatus!AL46</f>
        <v>0</v>
      </c>
      <c r="AK13" s="62">
        <f>Taimekasvatus!AM46</f>
        <v>0</v>
      </c>
      <c r="AL13" s="62">
        <f>Taimekasvatus!AN46</f>
        <v>0</v>
      </c>
      <c r="AM13" s="62">
        <f>Taimekasvatus!AO46</f>
        <v>0</v>
      </c>
      <c r="AN13" s="62">
        <f>Taimekasvatus!AP46</f>
        <v>0</v>
      </c>
      <c r="AO13" s="62">
        <f>Taimekasvatus!AQ46</f>
        <v>0</v>
      </c>
      <c r="AP13" s="62">
        <f>Taimekasvatus!AR46</f>
        <v>0</v>
      </c>
      <c r="AQ13" s="62">
        <f>Taimekasvatus!AS46</f>
        <v>0</v>
      </c>
      <c r="AR13" s="62">
        <f>Taimekasvatus!AT46</f>
        <v>0</v>
      </c>
      <c r="AS13" s="42">
        <f t="shared" si="13"/>
        <v>0</v>
      </c>
      <c r="AU13" t="s">
        <v>73</v>
      </c>
      <c r="AY13" s="80" t="s">
        <v>489</v>
      </c>
      <c r="AZ13" s="1" t="s">
        <v>489</v>
      </c>
      <c r="BA13" s="1" t="s">
        <v>108</v>
      </c>
      <c r="BB13" s="1" t="s">
        <v>513</v>
      </c>
      <c r="BC13" s="1" t="s">
        <v>19</v>
      </c>
      <c r="BD13" s="88" t="s">
        <v>514</v>
      </c>
      <c r="BE13" s="446">
        <f>SUM(BD14:BD17)</f>
        <v>0</v>
      </c>
      <c r="BH13" s="20">
        <f>Loomakasvatus!B234</f>
        <v>0</v>
      </c>
      <c r="BI13">
        <f>Loomakasvatus!C234</f>
        <v>0</v>
      </c>
      <c r="BJ13">
        <f>Loomakasvatus!D234/1000</f>
        <v>0</v>
      </c>
      <c r="BK13" t="str">
        <f>IFERROR(INDEX('M1 - LK'!$A$301:$AC$369,MATCH(Loomakasvatus!C234,'M1 - LK'!$A$301:$A$369,0),MATCH(Loomakasvatus!B234,'M1 - LK'!$A$301:$AC$301,0)),"0")</f>
        <v>0</v>
      </c>
      <c r="BL13">
        <f>IFERROR(BK13*BJ13,0)</f>
        <v>0</v>
      </c>
      <c r="BM13" s="445">
        <f>SUM(BL13:BL25)*1000+SUM(BL37:BL46)+CO13</f>
        <v>0</v>
      </c>
      <c r="BP13" s="20">
        <f>Loomakasvatus!B134</f>
        <v>0</v>
      </c>
      <c r="BQ13">
        <f>Loomakasvatus!C134</f>
        <v>0</v>
      </c>
      <c r="BR13">
        <f>Loomakasvatus!D134/1000</f>
        <v>0</v>
      </c>
      <c r="BS13" t="e">
        <f>(INDEX('M1 - LK'!$A$301:$AC$369,MATCH(Loomakasvatus!C134,'M1 - LK'!$A$301:$A$369,0),MATCH(Loomakasvatus!B134,'M1 - LK'!$A$301:$AC$301,0)))</f>
        <v>#N/A</v>
      </c>
      <c r="BT13">
        <f t="shared" ref="BT13:BT23" si="37">IFERROR(BS13*BR13,0)</f>
        <v>0</v>
      </c>
      <c r="BU13" s="445">
        <f>SUM(BT13:BT27)*1000+SUM(BT40:BT54)+CO26</f>
        <v>0</v>
      </c>
      <c r="BW13" s="20">
        <f>Loomakasvatus!B417</f>
        <v>0</v>
      </c>
      <c r="BX13">
        <f>Loomakasvatus!C417</f>
        <v>0</v>
      </c>
      <c r="BY13">
        <f>Loomakasvatus!D417/1000</f>
        <v>0</v>
      </c>
      <c r="BZ13" t="e">
        <f>INDEX('M1 - LK'!$A$301:$AC$369,MATCH(Loomakasvatus!C417,'M1 - LK'!$A$301:$A$369,0),MATCH(Loomakasvatus!B417,'M1 - LK'!$A$301:$AC$301,0))</f>
        <v>#N/A</v>
      </c>
      <c r="CA13">
        <f t="shared" ref="CA13:CA19" si="38">IFERROR(BZ13*BY13,0)</f>
        <v>0</v>
      </c>
      <c r="CB13" s="445">
        <f>SUM(CA13:CA26)*1000+SUM(CA38:CA51)+CO33</f>
        <v>0</v>
      </c>
      <c r="CD13" s="20">
        <f>Loomakasvatus!B593</f>
        <v>0</v>
      </c>
      <c r="CE13">
        <f>Loomakasvatus!C593</f>
        <v>0</v>
      </c>
      <c r="CF13">
        <f>Loomakasvatus!D593/1000</f>
        <v>0</v>
      </c>
      <c r="CG13" t="e">
        <f>INDEX('M1 - LK'!$A$301:$AC$369,MATCH(CE13,'M1 - LK'!$A$301:$A$369,0),MATCH(CD13,'M1 - LK'!$A$301:$AC$301,0))</f>
        <v>#N/A</v>
      </c>
      <c r="CH13">
        <f t="shared" ref="CH13:CH17" si="39">IFERROR(CG13*CF13,0)</f>
        <v>0</v>
      </c>
      <c r="CI13" s="445">
        <f>SUM(CH13:CH24)*1000+SUM(CH36:CH47)+CO47</f>
        <v>0</v>
      </c>
      <c r="CK13" s="20">
        <v>0</v>
      </c>
      <c r="CL13">
        <v>0</v>
      </c>
      <c r="CM13">
        <v>0</v>
      </c>
      <c r="CN13">
        <f>CL13*CM13</f>
        <v>0</v>
      </c>
      <c r="CO13" s="445">
        <f>SUM(CN13:CN16)</f>
        <v>0</v>
      </c>
      <c r="DJ13">
        <f>Tugitegevused!B30</f>
        <v>0</v>
      </c>
      <c r="DK13">
        <f>Tugitegevused!C30</f>
        <v>0</v>
      </c>
      <c r="DL13" t="str">
        <f>IFERROR(VLOOKUP(DJ13,EFid!$A$128:$C$234,3,FALSE),"0")</f>
        <v>0</v>
      </c>
      <c r="DM13">
        <f t="shared" si="6"/>
        <v>0</v>
      </c>
      <c r="DP13" s="1" t="s">
        <v>536</v>
      </c>
    </row>
    <row r="14" spans="1:127">
      <c r="B14" s="6"/>
      <c r="C14" s="33" t="s">
        <v>537</v>
      </c>
      <c r="E14" s="62">
        <f>Taimekasvatus!G47</f>
        <v>0</v>
      </c>
      <c r="F14" s="62">
        <f>Taimekasvatus!H47</f>
        <v>0</v>
      </c>
      <c r="G14" s="62">
        <f>Taimekasvatus!I47</f>
        <v>0</v>
      </c>
      <c r="H14" s="62">
        <f>Taimekasvatus!J47</f>
        <v>0</v>
      </c>
      <c r="I14" s="62">
        <f>Taimekasvatus!K47</f>
        <v>0</v>
      </c>
      <c r="J14" s="62">
        <f>Taimekasvatus!L47</f>
        <v>0</v>
      </c>
      <c r="K14" s="62">
        <f>Taimekasvatus!M47</f>
        <v>0</v>
      </c>
      <c r="L14" s="62">
        <f>Taimekasvatus!N47</f>
        <v>0</v>
      </c>
      <c r="M14" s="62">
        <f>Taimekasvatus!O47</f>
        <v>0</v>
      </c>
      <c r="N14" s="62">
        <f>Taimekasvatus!P47</f>
        <v>0</v>
      </c>
      <c r="O14" s="62">
        <f>Taimekasvatus!Q47</f>
        <v>0</v>
      </c>
      <c r="P14" s="62">
        <f>Taimekasvatus!R47</f>
        <v>0</v>
      </c>
      <c r="Q14" s="62">
        <f>Taimekasvatus!S47</f>
        <v>0</v>
      </c>
      <c r="R14" s="62">
        <f>Taimekasvatus!T47</f>
        <v>0</v>
      </c>
      <c r="S14" s="62">
        <f>Taimekasvatus!U47</f>
        <v>0</v>
      </c>
      <c r="T14" s="62">
        <f>Taimekasvatus!V47</f>
        <v>0</v>
      </c>
      <c r="U14" s="62">
        <f>Taimekasvatus!W47</f>
        <v>0</v>
      </c>
      <c r="V14" s="62">
        <f>Taimekasvatus!X47</f>
        <v>0</v>
      </c>
      <c r="W14" s="62">
        <f>Taimekasvatus!Y47</f>
        <v>0</v>
      </c>
      <c r="X14" s="62">
        <f>Taimekasvatus!Z47</f>
        <v>0</v>
      </c>
      <c r="Y14" s="62">
        <f>Taimekasvatus!AA47</f>
        <v>0</v>
      </c>
      <c r="Z14" s="62">
        <f>Taimekasvatus!AB47</f>
        <v>0</v>
      </c>
      <c r="AA14" s="62">
        <f>Taimekasvatus!AC47</f>
        <v>0</v>
      </c>
      <c r="AB14" s="62">
        <f>Taimekasvatus!AD47</f>
        <v>0</v>
      </c>
      <c r="AC14" s="62">
        <f>Taimekasvatus!AE47</f>
        <v>0</v>
      </c>
      <c r="AD14" s="62">
        <f>Taimekasvatus!AF47</f>
        <v>0</v>
      </c>
      <c r="AE14" s="62">
        <f>Taimekasvatus!AG47</f>
        <v>0</v>
      </c>
      <c r="AF14" s="62">
        <f>Taimekasvatus!AH47</f>
        <v>0</v>
      </c>
      <c r="AG14" s="62">
        <f>Taimekasvatus!AI47</f>
        <v>0</v>
      </c>
      <c r="AH14" s="62">
        <f>Taimekasvatus!AJ47</f>
        <v>0</v>
      </c>
      <c r="AI14" s="62">
        <f>Taimekasvatus!AK47</f>
        <v>0</v>
      </c>
      <c r="AJ14" s="62">
        <f>Taimekasvatus!AL47</f>
        <v>0</v>
      </c>
      <c r="AK14" s="62">
        <f>Taimekasvatus!AM47</f>
        <v>0</v>
      </c>
      <c r="AL14" s="62">
        <f>Taimekasvatus!AN47</f>
        <v>0</v>
      </c>
      <c r="AM14" s="62">
        <f>Taimekasvatus!AO47</f>
        <v>0</v>
      </c>
      <c r="AN14" s="62">
        <f>Taimekasvatus!AP47</f>
        <v>0</v>
      </c>
      <c r="AO14" s="62">
        <f>Taimekasvatus!AQ47</f>
        <v>0</v>
      </c>
      <c r="AP14" s="62">
        <f>Taimekasvatus!AR47</f>
        <v>0</v>
      </c>
      <c r="AQ14" s="62">
        <f>Taimekasvatus!AS47</f>
        <v>0</v>
      </c>
      <c r="AR14" s="62">
        <f>Taimekasvatus!AT47</f>
        <v>0</v>
      </c>
      <c r="AS14" s="42">
        <f t="shared" si="13"/>
        <v>0</v>
      </c>
      <c r="AU14" t="s">
        <v>73</v>
      </c>
      <c r="AY14" s="20">
        <f>Taimekasvatus!D184</f>
        <v>0</v>
      </c>
      <c r="AZ14">
        <f>Taimekasvatus!E184</f>
        <v>0</v>
      </c>
      <c r="BA14">
        <f>Taimekasvatus!G184</f>
        <v>0</v>
      </c>
      <c r="BB14" t="str">
        <f>IFERROR(VLOOKUP(AZ14,EFid!$A$29:$B$31,2,FALSE),"")</f>
        <v/>
      </c>
      <c r="BC14" t="str">
        <f>IFERROR(VLOOKUP(AZ14,EFid!$A$29:$C$31,3,FALSE),"")</f>
        <v/>
      </c>
      <c r="BD14" s="21">
        <f>IFERROR(BB14*BA14,0)</f>
        <v>0</v>
      </c>
      <c r="BH14" s="20">
        <f>Loomakasvatus!B235</f>
        <v>0</v>
      </c>
      <c r="BI14">
        <f>Loomakasvatus!C235</f>
        <v>0</v>
      </c>
      <c r="BJ14">
        <f>Loomakasvatus!D235/1000</f>
        <v>0</v>
      </c>
      <c r="BK14" t="str">
        <f>IFERROR(INDEX('M1 - LK'!$A$301:$AC$369,MATCH(Loomakasvatus!C235,'M1 - LK'!$A$301:$A$369,0),MATCH(Loomakasvatus!B235,'M1 - LK'!$A$301:$AC$301,0)),"0")</f>
        <v>0</v>
      </c>
      <c r="BL14">
        <f>IFERROR(BK14*BJ14,0)</f>
        <v>0</v>
      </c>
      <c r="BM14" s="21"/>
      <c r="BP14" s="20">
        <f>Loomakasvatus!B135</f>
        <v>0</v>
      </c>
      <c r="BQ14">
        <f>Loomakasvatus!C135</f>
        <v>0</v>
      </c>
      <c r="BR14">
        <f>Loomakasvatus!D135/1000</f>
        <v>0</v>
      </c>
      <c r="BS14" t="e">
        <f>(INDEX('M1 - LK'!$A$301:$AC$369,MATCH(Loomakasvatus!C135,'M1 - LK'!$A$301:$A$369,0),MATCH(Loomakasvatus!B135,'M1 - LK'!$A$301:$AC$301,0)))</f>
        <v>#N/A</v>
      </c>
      <c r="BT14">
        <f t="shared" si="37"/>
        <v>0</v>
      </c>
      <c r="BU14" s="21"/>
      <c r="BW14" s="20">
        <f>Loomakasvatus!B418</f>
        <v>0</v>
      </c>
      <c r="BX14">
        <f>Loomakasvatus!C418</f>
        <v>0</v>
      </c>
      <c r="BY14">
        <f>Loomakasvatus!D418/1000</f>
        <v>0</v>
      </c>
      <c r="BZ14" t="e">
        <f>INDEX('M1 - LK'!$A$301:$AC$369,MATCH(Loomakasvatus!C418,'M1 - LK'!$A$301:$A$369,0),MATCH(Loomakasvatus!B418,'M1 - LK'!$A$301:$AC$301,0))</f>
        <v>#N/A</v>
      </c>
      <c r="CA14">
        <f t="shared" si="38"/>
        <v>0</v>
      </c>
      <c r="CB14" s="21"/>
      <c r="CD14" s="20">
        <f>Loomakasvatus!B594</f>
        <v>0</v>
      </c>
      <c r="CE14">
        <f>Loomakasvatus!C594</f>
        <v>0</v>
      </c>
      <c r="CF14">
        <f>Loomakasvatus!D594/1000</f>
        <v>0</v>
      </c>
      <c r="CG14" t="e">
        <f>INDEX('M1 - LK'!$A$301:$AC$369,MATCH(CE14,'M1 - LK'!$A$301:$A$369,0),MATCH(CD14,'M1 - LK'!$A$301:$AC$301,0))</f>
        <v>#N/A</v>
      </c>
      <c r="CH14">
        <f t="shared" si="39"/>
        <v>0</v>
      </c>
      <c r="CI14" s="21"/>
      <c r="CK14" s="20">
        <v>0</v>
      </c>
      <c r="CL14">
        <v>0</v>
      </c>
      <c r="CM14">
        <v>0</v>
      </c>
      <c r="CN14">
        <f t="shared" ref="CN14:CN16" si="40">CL14*CM14</f>
        <v>0</v>
      </c>
      <c r="CO14" s="21"/>
      <c r="DJ14">
        <f>Tugitegevused!B31</f>
        <v>0</v>
      </c>
      <c r="DK14">
        <f>Tugitegevused!C31</f>
        <v>0</v>
      </c>
      <c r="DL14" t="str">
        <f>IFERROR(VLOOKUP(DJ14,EFid!$A$128:$C$234,3,FALSE),"0")</f>
        <v>0</v>
      </c>
      <c r="DM14">
        <f t="shared" si="6"/>
        <v>0</v>
      </c>
      <c r="DP14">
        <f>SUM(DK16:DK19)</f>
        <v>0</v>
      </c>
      <c r="DQ14">
        <f>EFid!B31</f>
        <v>0.61196000000000006</v>
      </c>
      <c r="DR14">
        <f>DP14/(1-EFid!B97/100)-DP14</f>
        <v>0</v>
      </c>
      <c r="DS14" s="444">
        <f>DR14*DQ14</f>
        <v>0</v>
      </c>
    </row>
    <row r="15" spans="1:127" ht="15" thickBot="1">
      <c r="B15" s="6"/>
      <c r="C15" s="33" t="s">
        <v>538</v>
      </c>
      <c r="E15" s="62">
        <f>Taimekasvatus!G48</f>
        <v>0</v>
      </c>
      <c r="F15" s="62">
        <f>Taimekasvatus!H48</f>
        <v>0</v>
      </c>
      <c r="G15" s="62">
        <f>Taimekasvatus!I48</f>
        <v>0</v>
      </c>
      <c r="H15" s="62">
        <f>Taimekasvatus!J48</f>
        <v>0</v>
      </c>
      <c r="I15" s="62">
        <f>Taimekasvatus!K48</f>
        <v>0</v>
      </c>
      <c r="J15" s="62">
        <f>Taimekasvatus!L48</f>
        <v>0</v>
      </c>
      <c r="K15" s="62">
        <f>Taimekasvatus!M48</f>
        <v>0</v>
      </c>
      <c r="L15" s="62">
        <f>Taimekasvatus!N48</f>
        <v>0</v>
      </c>
      <c r="M15" s="62">
        <f>Taimekasvatus!O48</f>
        <v>0</v>
      </c>
      <c r="N15" s="62">
        <f>Taimekasvatus!P48</f>
        <v>0</v>
      </c>
      <c r="O15" s="62">
        <f>Taimekasvatus!Q48</f>
        <v>0</v>
      </c>
      <c r="P15" s="62">
        <f>Taimekasvatus!R48</f>
        <v>0</v>
      </c>
      <c r="Q15" s="62">
        <f>Taimekasvatus!S48</f>
        <v>0</v>
      </c>
      <c r="R15" s="62">
        <f>Taimekasvatus!T48</f>
        <v>0</v>
      </c>
      <c r="S15" s="62">
        <f>Taimekasvatus!U48</f>
        <v>0</v>
      </c>
      <c r="T15" s="62">
        <f>Taimekasvatus!V48</f>
        <v>0</v>
      </c>
      <c r="U15" s="62">
        <f>Taimekasvatus!W48</f>
        <v>0</v>
      </c>
      <c r="V15" s="62">
        <f>Taimekasvatus!X48</f>
        <v>0</v>
      </c>
      <c r="W15" s="62">
        <f>Taimekasvatus!Y48</f>
        <v>0</v>
      </c>
      <c r="X15" s="62">
        <f>Taimekasvatus!Z48</f>
        <v>0</v>
      </c>
      <c r="Y15" s="62">
        <f>Taimekasvatus!AA48</f>
        <v>0</v>
      </c>
      <c r="Z15" s="62">
        <f>Taimekasvatus!AB48</f>
        <v>0</v>
      </c>
      <c r="AA15" s="62">
        <f>Taimekasvatus!AC48</f>
        <v>0</v>
      </c>
      <c r="AB15" s="62">
        <f>Taimekasvatus!AD48</f>
        <v>0</v>
      </c>
      <c r="AC15" s="62">
        <f>Taimekasvatus!AE48</f>
        <v>0</v>
      </c>
      <c r="AD15" s="62">
        <f>Taimekasvatus!AF48</f>
        <v>0</v>
      </c>
      <c r="AE15" s="62">
        <f>Taimekasvatus!AG48</f>
        <v>0</v>
      </c>
      <c r="AF15" s="62">
        <f>Taimekasvatus!AH48</f>
        <v>0</v>
      </c>
      <c r="AG15" s="62">
        <f>Taimekasvatus!AI48</f>
        <v>0</v>
      </c>
      <c r="AH15" s="62">
        <f>Taimekasvatus!AJ48</f>
        <v>0</v>
      </c>
      <c r="AI15" s="62">
        <f>Taimekasvatus!AK48</f>
        <v>0</v>
      </c>
      <c r="AJ15" s="62">
        <f>Taimekasvatus!AL48</f>
        <v>0</v>
      </c>
      <c r="AK15" s="62">
        <f>Taimekasvatus!AM48</f>
        <v>0</v>
      </c>
      <c r="AL15" s="62">
        <f>Taimekasvatus!AN48</f>
        <v>0</v>
      </c>
      <c r="AM15" s="62">
        <f>Taimekasvatus!AO48</f>
        <v>0</v>
      </c>
      <c r="AN15" s="62">
        <f>Taimekasvatus!AP48</f>
        <v>0</v>
      </c>
      <c r="AO15" s="62">
        <f>Taimekasvatus!AQ48</f>
        <v>0</v>
      </c>
      <c r="AP15" s="62">
        <f>Taimekasvatus!AR48</f>
        <v>0</v>
      </c>
      <c r="AQ15" s="62">
        <f>Taimekasvatus!AS48</f>
        <v>0</v>
      </c>
      <c r="AR15" s="62">
        <f>Taimekasvatus!AT48</f>
        <v>0</v>
      </c>
      <c r="AS15" s="42">
        <f t="shared" si="13"/>
        <v>0</v>
      </c>
      <c r="AU15" t="s">
        <v>73</v>
      </c>
      <c r="AV15" s="1"/>
      <c r="AY15" s="20">
        <f>Taimekasvatus!D185</f>
        <v>0</v>
      </c>
      <c r="AZ15">
        <f>Taimekasvatus!E185</f>
        <v>0</v>
      </c>
      <c r="BA15">
        <f>Taimekasvatus!G185</f>
        <v>0</v>
      </c>
      <c r="BB15" t="str">
        <f>IFERROR(VLOOKUP(AZ15,EFid!$A$29:$B$31,2,FALSE),"")</f>
        <v/>
      </c>
      <c r="BC15" t="str">
        <f>IFERROR(VLOOKUP(AZ15,EFid!$A$29:$C$31,3,FALSE),"")</f>
        <v/>
      </c>
      <c r="BD15" s="21">
        <f>IFERROR(BB15*BA15,0)</f>
        <v>0</v>
      </c>
      <c r="BH15" s="20">
        <f>Loomakasvatus!B236</f>
        <v>0</v>
      </c>
      <c r="BI15">
        <f>Loomakasvatus!C236</f>
        <v>0</v>
      </c>
      <c r="BJ15">
        <f>Loomakasvatus!D236/1000</f>
        <v>0</v>
      </c>
      <c r="BK15" t="str">
        <f>IFERROR(INDEX('M1 - LK'!$A$301:$AC$369,MATCH(Loomakasvatus!C236,'M1 - LK'!$A$301:$A$369,0),MATCH(Loomakasvatus!B236,'M1 - LK'!$A$301:$AC$301,0)),"0")</f>
        <v>0</v>
      </c>
      <c r="BL15">
        <f t="shared" ref="BL15:BL22" si="41">IFERROR(BK15*BJ15,0)</f>
        <v>0</v>
      </c>
      <c r="BM15" s="21"/>
      <c r="BP15" s="20">
        <f>Loomakasvatus!B136</f>
        <v>0</v>
      </c>
      <c r="BQ15">
        <f>Loomakasvatus!C136</f>
        <v>0</v>
      </c>
      <c r="BR15">
        <f>Loomakasvatus!D136/1000</f>
        <v>0</v>
      </c>
      <c r="BS15" t="e">
        <f>(INDEX('M1 - LK'!$A$301:$AC$369,MATCH(Loomakasvatus!C136,'M1 - LK'!$A$301:$A$369,0),MATCH(Loomakasvatus!B136,'M1 - LK'!$A$301:$AC$301,0)))</f>
        <v>#N/A</v>
      </c>
      <c r="BT15">
        <f t="shared" si="37"/>
        <v>0</v>
      </c>
      <c r="BU15" s="21"/>
      <c r="BW15" s="20">
        <f>Loomakasvatus!B419</f>
        <v>0</v>
      </c>
      <c r="BX15">
        <f>Loomakasvatus!C419</f>
        <v>0</v>
      </c>
      <c r="BY15">
        <f>Loomakasvatus!D419/1000</f>
        <v>0</v>
      </c>
      <c r="BZ15" t="e">
        <f>INDEX('M1 - LK'!$A$301:$AC$369,MATCH(Loomakasvatus!C419,'M1 - LK'!$A$301:$A$369,0),MATCH(Loomakasvatus!B419,'M1 - LK'!$A$301:$AC$301,0))</f>
        <v>#N/A</v>
      </c>
      <c r="CA15">
        <f t="shared" si="38"/>
        <v>0</v>
      </c>
      <c r="CB15" s="21"/>
      <c r="CD15" s="20">
        <f>Loomakasvatus!B595</f>
        <v>0</v>
      </c>
      <c r="CE15">
        <f>Loomakasvatus!C595</f>
        <v>0</v>
      </c>
      <c r="CF15">
        <f>Loomakasvatus!D595/1000</f>
        <v>0</v>
      </c>
      <c r="CG15" t="e">
        <f>INDEX('M1 - LK'!$A$301:$AC$369,MATCH(CE15,'M1 - LK'!$A$301:$A$369,0),MATCH(CD15,'M1 - LK'!$A$301:$AC$301,0))</f>
        <v>#N/A</v>
      </c>
      <c r="CH15">
        <f t="shared" si="39"/>
        <v>0</v>
      </c>
      <c r="CI15" s="21"/>
      <c r="CK15" s="20">
        <v>0</v>
      </c>
      <c r="CL15">
        <v>0</v>
      </c>
      <c r="CM15">
        <v>0</v>
      </c>
      <c r="CN15">
        <f t="shared" si="40"/>
        <v>0</v>
      </c>
      <c r="CO15" s="21"/>
      <c r="DJ15" s="1" t="s">
        <v>489</v>
      </c>
      <c r="DK15" s="1" t="s">
        <v>108</v>
      </c>
      <c r="DL15" s="1" t="s">
        <v>516</v>
      </c>
      <c r="DM15" s="1" t="s">
        <v>524</v>
      </c>
    </row>
    <row r="16" spans="1:127">
      <c r="A16" s="1" t="s">
        <v>539</v>
      </c>
      <c r="B16" s="90" t="s">
        <v>540</v>
      </c>
      <c r="C16" s="82"/>
      <c r="D16" s="82"/>
      <c r="E16" s="404">
        <f>IFERROR((E20*E17*E21*E22*(1-E23)+(E17*E21*E24*E25)),0)</f>
        <v>0</v>
      </c>
      <c r="F16" s="404">
        <f t="shared" ref="F16:X16" si="42">IFERROR((F20*F17*F21*F22*(1-F23)+(F17*F24*F25)),0)</f>
        <v>0</v>
      </c>
      <c r="G16" s="404">
        <f t="shared" si="42"/>
        <v>0</v>
      </c>
      <c r="H16" s="404">
        <f t="shared" si="42"/>
        <v>0</v>
      </c>
      <c r="I16" s="404">
        <f t="shared" si="42"/>
        <v>0</v>
      </c>
      <c r="J16" s="404">
        <f t="shared" si="42"/>
        <v>0</v>
      </c>
      <c r="K16" s="404">
        <f t="shared" si="42"/>
        <v>0</v>
      </c>
      <c r="L16" s="404">
        <f t="shared" si="42"/>
        <v>0</v>
      </c>
      <c r="M16" s="404">
        <f t="shared" si="42"/>
        <v>0</v>
      </c>
      <c r="N16" s="404">
        <f t="shared" si="42"/>
        <v>0</v>
      </c>
      <c r="O16" s="404">
        <f t="shared" si="42"/>
        <v>0</v>
      </c>
      <c r="P16" s="404">
        <f t="shared" si="42"/>
        <v>0</v>
      </c>
      <c r="Q16" s="404">
        <f t="shared" si="42"/>
        <v>0</v>
      </c>
      <c r="R16" s="404">
        <f t="shared" si="42"/>
        <v>0</v>
      </c>
      <c r="S16" s="404">
        <f t="shared" si="42"/>
        <v>0</v>
      </c>
      <c r="T16" s="404">
        <f t="shared" si="42"/>
        <v>0</v>
      </c>
      <c r="U16" s="404">
        <f t="shared" si="42"/>
        <v>0</v>
      </c>
      <c r="V16" s="404">
        <f t="shared" si="42"/>
        <v>0</v>
      </c>
      <c r="W16" s="404">
        <f t="shared" si="42"/>
        <v>0</v>
      </c>
      <c r="X16" s="404">
        <f t="shared" si="42"/>
        <v>0</v>
      </c>
      <c r="Y16" s="404"/>
      <c r="Z16" s="404"/>
      <c r="AA16" s="404"/>
      <c r="AB16" s="404"/>
      <c r="AC16" s="404"/>
      <c r="AD16" s="404"/>
      <c r="AE16" s="404"/>
      <c r="AF16" s="404"/>
      <c r="AG16" s="404"/>
      <c r="AH16" s="404"/>
      <c r="AI16" s="404"/>
      <c r="AJ16" s="404"/>
      <c r="AK16" s="404"/>
      <c r="AL16" s="404"/>
      <c r="AM16" s="404"/>
      <c r="AN16" s="404"/>
      <c r="AO16" s="404"/>
      <c r="AP16" s="404"/>
      <c r="AQ16" s="404"/>
      <c r="AR16" s="130"/>
      <c r="AS16" s="42">
        <f t="shared" si="13"/>
        <v>0</v>
      </c>
      <c r="AT16" s="1" t="s">
        <v>539</v>
      </c>
      <c r="AU16" s="1" t="s">
        <v>73</v>
      </c>
      <c r="AY16" s="20">
        <f>Taimekasvatus!D186</f>
        <v>0</v>
      </c>
      <c r="AZ16">
        <f>Taimekasvatus!E186</f>
        <v>0</v>
      </c>
      <c r="BA16">
        <f>Taimekasvatus!G186</f>
        <v>0</v>
      </c>
      <c r="BB16" t="str">
        <f>IFERROR(VLOOKUP(AZ16,EFid!$A$29:$B$31,2,FALSE),"")</f>
        <v/>
      </c>
      <c r="BC16" t="str">
        <f>IFERROR(VLOOKUP(AZ16,EFid!$A$29:$C$31,3,FALSE),"")</f>
        <v/>
      </c>
      <c r="BD16" s="21">
        <f>IFERROR(BB16*BA16,0)</f>
        <v>0</v>
      </c>
      <c r="BH16" s="20">
        <f>Loomakasvatus!B237</f>
        <v>0</v>
      </c>
      <c r="BI16">
        <f>Loomakasvatus!C237</f>
        <v>0</v>
      </c>
      <c r="BJ16">
        <f>Loomakasvatus!D237/1000</f>
        <v>0</v>
      </c>
      <c r="BK16" t="str">
        <f>IFERROR(INDEX('M1 - LK'!$A$301:$AC$369,MATCH(Loomakasvatus!C237,'M1 - LK'!$A$301:$A$369,0),MATCH(Loomakasvatus!B237,'M1 - LK'!$A$301:$AC$301,0)),"0")</f>
        <v>0</v>
      </c>
      <c r="BL16">
        <f t="shared" si="41"/>
        <v>0</v>
      </c>
      <c r="BM16" s="21"/>
      <c r="BP16" s="20">
        <f>Loomakasvatus!B137</f>
        <v>0</v>
      </c>
      <c r="BQ16">
        <f>Loomakasvatus!C137</f>
        <v>0</v>
      </c>
      <c r="BR16">
        <f>Loomakasvatus!D137/1000</f>
        <v>0</v>
      </c>
      <c r="BS16" t="e">
        <f>(INDEX('M1 - LK'!$A$301:$AC$369,MATCH(Loomakasvatus!C137,'M1 - LK'!$A$301:$A$369,0),MATCH(Loomakasvatus!B137,'M1 - LK'!$A$301:$AC$301,0)))</f>
        <v>#N/A</v>
      </c>
      <c r="BT16">
        <f t="shared" si="37"/>
        <v>0</v>
      </c>
      <c r="BU16" s="21"/>
      <c r="BW16" s="20">
        <f>Loomakasvatus!B420</f>
        <v>0</v>
      </c>
      <c r="BX16">
        <f>Loomakasvatus!C420</f>
        <v>0</v>
      </c>
      <c r="BY16">
        <f>Loomakasvatus!D420/1000</f>
        <v>0</v>
      </c>
      <c r="BZ16" t="e">
        <f>INDEX('M1 - LK'!$A$301:$AC$369,MATCH(Loomakasvatus!C420,'M1 - LK'!$A$301:$A$369,0),MATCH(Loomakasvatus!B420,'M1 - LK'!$A$301:$AC$301,0))</f>
        <v>#N/A</v>
      </c>
      <c r="CA16">
        <f t="shared" si="38"/>
        <v>0</v>
      </c>
      <c r="CB16" s="21"/>
      <c r="CD16" s="20">
        <f>Loomakasvatus!B596</f>
        <v>0</v>
      </c>
      <c r="CE16">
        <f>Loomakasvatus!C596</f>
        <v>0</v>
      </c>
      <c r="CF16">
        <f>Loomakasvatus!D596/1000</f>
        <v>0</v>
      </c>
      <c r="CG16" t="e">
        <f>INDEX('M1 - LK'!$A$301:$AC$369,MATCH(CE16,'M1 - LK'!$A$301:$A$369,0),MATCH(CD16,'M1 - LK'!$A$301:$AC$301,0))</f>
        <v>#N/A</v>
      </c>
      <c r="CH16">
        <f t="shared" si="39"/>
        <v>0</v>
      </c>
      <c r="CI16" s="21"/>
      <c r="CK16" s="20">
        <v>0</v>
      </c>
      <c r="CL16">
        <v>0</v>
      </c>
      <c r="CM16">
        <v>0</v>
      </c>
      <c r="CN16">
        <f t="shared" si="40"/>
        <v>0</v>
      </c>
      <c r="CO16" s="21"/>
      <c r="DJ16" t="str">
        <f>Tugitegevused!B4</f>
        <v>Taastuvelekter (biomassist)</v>
      </c>
      <c r="DK16">
        <f>Tugitegevused!C4</f>
        <v>0</v>
      </c>
      <c r="DL16">
        <f>IFERROR(VLOOKUP(DJ16,EFid!$A$29:$B$31,2,FALSE),"0")</f>
        <v>2.3133671180449269E-4</v>
      </c>
      <c r="DM16">
        <f>DK16*DL16</f>
        <v>0</v>
      </c>
      <c r="DN16">
        <f>SUM(DM16:DM19)</f>
        <v>0</v>
      </c>
      <c r="DW16" s="1" t="s">
        <v>541</v>
      </c>
    </row>
    <row r="17" spans="1:128">
      <c r="B17" t="s">
        <v>542</v>
      </c>
      <c r="C17" t="s">
        <v>543</v>
      </c>
      <c r="D17" s="1"/>
      <c r="E17" s="61">
        <f>IFERROR(E18*E19,0)</f>
        <v>0</v>
      </c>
      <c r="F17" s="61">
        <f t="shared" ref="F17:X17" si="43">IFERROR(F18*F19,0)</f>
        <v>0</v>
      </c>
      <c r="G17" s="61">
        <f t="shared" si="43"/>
        <v>0</v>
      </c>
      <c r="H17" s="61">
        <f t="shared" si="43"/>
        <v>0</v>
      </c>
      <c r="I17" s="61">
        <f t="shared" si="43"/>
        <v>0</v>
      </c>
      <c r="J17" s="61">
        <f t="shared" si="43"/>
        <v>0</v>
      </c>
      <c r="K17" s="61">
        <f t="shared" si="43"/>
        <v>0</v>
      </c>
      <c r="L17" s="61">
        <f t="shared" si="43"/>
        <v>0</v>
      </c>
      <c r="M17" s="61">
        <f t="shared" si="43"/>
        <v>0</v>
      </c>
      <c r="N17" s="61">
        <f t="shared" si="43"/>
        <v>0</v>
      </c>
      <c r="O17" s="61">
        <f t="shared" si="43"/>
        <v>0</v>
      </c>
      <c r="P17" s="61">
        <f t="shared" si="43"/>
        <v>0</v>
      </c>
      <c r="Q17" s="61">
        <f t="shared" si="43"/>
        <v>0</v>
      </c>
      <c r="R17" s="61">
        <f t="shared" si="43"/>
        <v>0</v>
      </c>
      <c r="S17" s="61">
        <f t="shared" si="43"/>
        <v>0</v>
      </c>
      <c r="T17" s="61">
        <f t="shared" si="43"/>
        <v>0</v>
      </c>
      <c r="U17" s="61">
        <f t="shared" si="43"/>
        <v>0</v>
      </c>
      <c r="V17" s="61">
        <f t="shared" si="43"/>
        <v>0</v>
      </c>
      <c r="W17" s="61">
        <f t="shared" si="43"/>
        <v>0</v>
      </c>
      <c r="X17" s="61">
        <f t="shared" si="43"/>
        <v>0</v>
      </c>
      <c r="Y17" s="61"/>
      <c r="Z17" s="61"/>
      <c r="AA17" s="61"/>
      <c r="AB17" s="61"/>
      <c r="AC17" s="61"/>
      <c r="AD17" s="61"/>
      <c r="AE17" s="61"/>
      <c r="AF17" s="61"/>
      <c r="AG17" s="61"/>
      <c r="AH17" s="61"/>
      <c r="AI17" s="61"/>
      <c r="AJ17" s="61"/>
      <c r="AK17" s="61"/>
      <c r="AL17" s="61"/>
      <c r="AM17" s="61"/>
      <c r="AN17" s="61"/>
      <c r="AO17" s="61"/>
      <c r="AP17" s="61"/>
      <c r="AQ17" s="61"/>
      <c r="AR17" s="186"/>
      <c r="AS17" s="42">
        <f t="shared" si="13"/>
        <v>0</v>
      </c>
      <c r="AU17" t="s">
        <v>544</v>
      </c>
      <c r="AX17" s="180"/>
      <c r="AY17" s="183">
        <f>Taimekasvatus!D187</f>
        <v>0</v>
      </c>
      <c r="AZ17" s="8">
        <f>Taimekasvatus!E187</f>
        <v>0</v>
      </c>
      <c r="BA17" s="8" t="str">
        <f>Taimekasvatus!F187</f>
        <v>kWh</v>
      </c>
      <c r="BB17" s="8" t="str">
        <f>IFERROR(VLOOKUP(AZ17,EFid!$A$29:$B$31,2,FALSE),"")</f>
        <v/>
      </c>
      <c r="BC17" s="8" t="str">
        <f>IFERROR(VLOOKUP(AZ17,EFid!$A$29:$C$31,3,FALSE),"")</f>
        <v/>
      </c>
      <c r="BD17" s="184">
        <f>IFERROR(BB17*BA17,0)</f>
        <v>0</v>
      </c>
      <c r="BH17" s="20">
        <f>Loomakasvatus!B238</f>
        <v>0</v>
      </c>
      <c r="BI17">
        <f>Loomakasvatus!C238</f>
        <v>0</v>
      </c>
      <c r="BJ17">
        <f>Loomakasvatus!D238/1000</f>
        <v>0</v>
      </c>
      <c r="BK17" t="str">
        <f>IFERROR(INDEX('M1 - LK'!$A$301:$AC$369,MATCH(Loomakasvatus!C238,'M1 - LK'!$A$301:$A$369,0),MATCH(Loomakasvatus!B238,'M1 - LK'!$A$301:$AC$301,0)),"0")</f>
        <v>0</v>
      </c>
      <c r="BL17">
        <f t="shared" si="41"/>
        <v>0</v>
      </c>
      <c r="BM17" s="21"/>
      <c r="BP17" s="20">
        <f>Loomakasvatus!B138</f>
        <v>0</v>
      </c>
      <c r="BQ17">
        <f>Loomakasvatus!C138</f>
        <v>0</v>
      </c>
      <c r="BR17">
        <f>Loomakasvatus!D138/1000</f>
        <v>0</v>
      </c>
      <c r="BS17" t="e">
        <f>(INDEX('M1 - LK'!$A$301:$AC$369,MATCH(Loomakasvatus!C138,'M1 - LK'!$A$301:$A$369,0),MATCH(Loomakasvatus!B138,'M1 - LK'!$A$301:$AC$301,0)))</f>
        <v>#N/A</v>
      </c>
      <c r="BT17">
        <f t="shared" si="37"/>
        <v>0</v>
      </c>
      <c r="BU17" s="21"/>
      <c r="BW17" s="20">
        <f>Loomakasvatus!B421</f>
        <v>0</v>
      </c>
      <c r="BX17">
        <f>Loomakasvatus!C421</f>
        <v>0</v>
      </c>
      <c r="BY17">
        <f>Loomakasvatus!D421/1000</f>
        <v>0</v>
      </c>
      <c r="BZ17" t="e">
        <f>INDEX('M1 - LK'!$A$301:$AC$369,MATCH(Loomakasvatus!C421,'M1 - LK'!$A$301:$A$369,0),MATCH(Loomakasvatus!B421,'M1 - LK'!$A$301:$AC$301,0))</f>
        <v>#N/A</v>
      </c>
      <c r="CA17">
        <f t="shared" si="38"/>
        <v>0</v>
      </c>
      <c r="CB17" s="21"/>
      <c r="CD17" s="20">
        <f>Loomakasvatus!B597</f>
        <v>0</v>
      </c>
      <c r="CE17">
        <f>Loomakasvatus!C597</f>
        <v>0</v>
      </c>
      <c r="CF17">
        <f>Loomakasvatus!D597/1000</f>
        <v>0</v>
      </c>
      <c r="CG17" t="e">
        <f>INDEX('M1 - LK'!$A$301:$AC$369,MATCH(CE17,'M1 - LK'!$A$301:$A$369,0),MATCH(CD17,'M1 - LK'!$A$301:$AC$301,0))</f>
        <v>#N/A</v>
      </c>
      <c r="CH17">
        <f t="shared" si="39"/>
        <v>0</v>
      </c>
      <c r="CI17" s="21"/>
      <c r="CK17" s="20"/>
      <c r="CO17" s="21"/>
      <c r="DJ17" t="str">
        <f>Tugitegevused!B5</f>
        <v>Taastuvelekter (päritolutunnistusega)</v>
      </c>
      <c r="DK17">
        <f>Tugitegevused!C5</f>
        <v>0</v>
      </c>
      <c r="DL17">
        <f>IFERROR(VLOOKUP(DJ17,EFid!$A$29:$B$31,2,FALSE),"0")</f>
        <v>0</v>
      </c>
      <c r="DM17">
        <f t="shared" ref="DM17:DM19" si="44">DK17*DL17</f>
        <v>0</v>
      </c>
      <c r="DW17" t="s">
        <v>545</v>
      </c>
      <c r="DX17">
        <v>1</v>
      </c>
    </row>
    <row r="18" spans="1:128">
      <c r="B18" s="20" t="s">
        <v>546</v>
      </c>
      <c r="C18" t="s">
        <v>547</v>
      </c>
      <c r="E18" s="62">
        <f>Taimekasvatus!G20*1000</f>
        <v>0</v>
      </c>
      <c r="F18" s="62">
        <f>Taimekasvatus!H20*1000</f>
        <v>0</v>
      </c>
      <c r="G18" s="62">
        <f>Taimekasvatus!I20*1000</f>
        <v>0</v>
      </c>
      <c r="H18" s="62">
        <f>Taimekasvatus!J20*1000</f>
        <v>0</v>
      </c>
      <c r="I18" s="62">
        <f>Taimekasvatus!K20*1000</f>
        <v>0</v>
      </c>
      <c r="J18" s="62">
        <f>Taimekasvatus!L20*1000</f>
        <v>0</v>
      </c>
      <c r="K18" s="62">
        <f>Taimekasvatus!M20*1000</f>
        <v>0</v>
      </c>
      <c r="L18" s="62">
        <f>Taimekasvatus!N20*1000</f>
        <v>0</v>
      </c>
      <c r="M18" s="62">
        <f>Taimekasvatus!O20*1000</f>
        <v>0</v>
      </c>
      <c r="N18" s="62">
        <f>Taimekasvatus!P20*1000</f>
        <v>0</v>
      </c>
      <c r="O18" s="62">
        <f>Taimekasvatus!Q20*1000</f>
        <v>0</v>
      </c>
      <c r="P18" s="62">
        <f>Taimekasvatus!R20*1000</f>
        <v>0</v>
      </c>
      <c r="Q18" s="62">
        <f>Taimekasvatus!S20*1000</f>
        <v>0</v>
      </c>
      <c r="R18" s="62">
        <f>Taimekasvatus!T20*1000</f>
        <v>0</v>
      </c>
      <c r="S18" s="62">
        <f>Taimekasvatus!U20*1000</f>
        <v>0</v>
      </c>
      <c r="T18" s="62">
        <f>Taimekasvatus!V20*1000</f>
        <v>0</v>
      </c>
      <c r="U18" s="62">
        <f>Taimekasvatus!W20*1000</f>
        <v>0</v>
      </c>
      <c r="V18" s="62">
        <f>Taimekasvatus!X20*1000</f>
        <v>0</v>
      </c>
      <c r="W18" s="62">
        <f>Taimekasvatus!Y20*1000</f>
        <v>0</v>
      </c>
      <c r="X18" s="62">
        <f>Taimekasvatus!Z20*1000</f>
        <v>0</v>
      </c>
      <c r="Y18" s="62"/>
      <c r="Z18" s="62"/>
      <c r="AA18" s="62"/>
      <c r="AB18" s="62"/>
      <c r="AC18" s="62"/>
      <c r="AD18" s="62"/>
      <c r="AE18" s="62"/>
      <c r="AF18" s="62"/>
      <c r="AG18" s="62"/>
      <c r="AH18" s="62"/>
      <c r="AI18" s="62"/>
      <c r="AJ18" s="62"/>
      <c r="AK18" s="62"/>
      <c r="AL18" s="62"/>
      <c r="AM18" s="62"/>
      <c r="AN18" s="62"/>
      <c r="AO18" s="62"/>
      <c r="AP18" s="62"/>
      <c r="AQ18" s="62"/>
      <c r="AR18" s="62"/>
      <c r="AS18" s="42">
        <f t="shared" si="13"/>
        <v>0</v>
      </c>
      <c r="AU18" t="s">
        <v>38</v>
      </c>
      <c r="AX18" s="180"/>
      <c r="AY18" s="80" t="s">
        <v>548</v>
      </c>
      <c r="BD18" s="21">
        <f>IFERROR(BB18*BA18,0)</f>
        <v>0</v>
      </c>
      <c r="BH18" s="20">
        <f>Loomakasvatus!B239</f>
        <v>0</v>
      </c>
      <c r="BI18">
        <f>Loomakasvatus!C239</f>
        <v>0</v>
      </c>
      <c r="BJ18">
        <f>Loomakasvatus!D239/1000</f>
        <v>0</v>
      </c>
      <c r="BK18" t="str">
        <f>IFERROR(INDEX('M1 - LK'!$A$301:$AC$369,MATCH(Loomakasvatus!C239,'M1 - LK'!$A$301:$A$369,0),MATCH(Loomakasvatus!B239,'M1 - LK'!$A$301:$AC$301,0)),"0")</f>
        <v>0</v>
      </c>
      <c r="BL18">
        <f t="shared" si="41"/>
        <v>0</v>
      </c>
      <c r="BM18" s="21"/>
      <c r="BP18" s="20">
        <f>Loomakasvatus!B139</f>
        <v>0</v>
      </c>
      <c r="BQ18">
        <f>Loomakasvatus!C139</f>
        <v>0</v>
      </c>
      <c r="BR18">
        <f>Loomakasvatus!D139/1000</f>
        <v>0</v>
      </c>
      <c r="BS18" t="e">
        <f>(INDEX('M1 - LK'!$A$301:$AC$369,MATCH(Loomakasvatus!C139,'M1 - LK'!$A$301:$A$369,0),MATCH(Loomakasvatus!B139,'M1 - LK'!$A$301:$AC$301,0)))</f>
        <v>#N/A</v>
      </c>
      <c r="BT18">
        <f t="shared" si="37"/>
        <v>0</v>
      </c>
      <c r="BU18" s="21"/>
      <c r="BW18" s="20">
        <f>Loomakasvatus!B422</f>
        <v>0</v>
      </c>
      <c r="BX18">
        <f>Loomakasvatus!C422</f>
        <v>0</v>
      </c>
      <c r="BY18">
        <f>Loomakasvatus!D422/1000</f>
        <v>0</v>
      </c>
      <c r="BZ18" t="e">
        <f>INDEX('M1 - LK'!$A$301:$AC$369,MATCH(Loomakasvatus!C422,'M1 - LK'!$A$301:$A$369,0),MATCH(Loomakasvatus!B422,'M1 - LK'!$A$301:$AC$301,0))</f>
        <v>#N/A</v>
      </c>
      <c r="CA18">
        <f t="shared" si="38"/>
        <v>0</v>
      </c>
      <c r="CB18" s="21"/>
      <c r="CD18" s="20">
        <f>Loomakasvatus!B598</f>
        <v>0</v>
      </c>
      <c r="CE18">
        <f>Loomakasvatus!C598</f>
        <v>0</v>
      </c>
      <c r="CF18">
        <f>Loomakasvatus!D598/1000</f>
        <v>0</v>
      </c>
      <c r="CG18" t="e">
        <f>INDEX('M1 - LK'!$A$301:$AC$369,MATCH(CE18,'M1 - LK'!$A$301:$A$369,0),MATCH(CD18,'M1 - LK'!$A$301:$AC$301,0))</f>
        <v>#N/A</v>
      </c>
      <c r="CH18">
        <f t="shared" ref="CH18:CH24" si="45">IFERROR(CG18*CF18,0)</f>
        <v>0</v>
      </c>
      <c r="CI18" s="21"/>
      <c r="CK18" s="80" t="s">
        <v>179</v>
      </c>
      <c r="CO18" s="21"/>
      <c r="DJ18" t="str">
        <f>Tugitegevused!B6</f>
        <v>Tavaelekter</v>
      </c>
      <c r="DK18">
        <f>Tugitegevused!C6</f>
        <v>0</v>
      </c>
      <c r="DL18">
        <f>IFERROR(VLOOKUP(DJ18,EFid!$A$29:$B$31,2,FALSE),"0")</f>
        <v>0.61196000000000006</v>
      </c>
      <c r="DM18">
        <f t="shared" si="44"/>
        <v>0</v>
      </c>
      <c r="DW18" t="s">
        <v>371</v>
      </c>
      <c r="DX18">
        <v>1</v>
      </c>
    </row>
    <row r="19" spans="1:128">
      <c r="B19" s="183" t="s">
        <v>549</v>
      </c>
      <c r="C19" s="8" t="s">
        <v>550</v>
      </c>
      <c r="D19" s="8"/>
      <c r="E19" s="179">
        <f>IFERROR(IF(ISNUMBER(Taimekasvatus!G21), Taimekasvatus!G21, VLOOKUP(E6,'M1 - TK'!$A$38:$F$82,2, FALSE)),0)</f>
        <v>0.86</v>
      </c>
      <c r="F19" s="179">
        <f>IFERROR(IF(ISNUMBER(Taimekasvatus!H21), Taimekasvatus!H21, VLOOKUP(F6,'M1 - TK'!$A$38:$F$82,2, FALSE)),0)</f>
        <v>0</v>
      </c>
      <c r="G19" s="179">
        <f>IFERROR(IF(ISNUMBER(Taimekasvatus!I21), Taimekasvatus!I21, VLOOKUP(G6,'M1 - TK'!$A$38:$F$82,2, FALSE)),0)</f>
        <v>0</v>
      </c>
      <c r="H19" s="179">
        <f>IFERROR(IF(ISNUMBER(Taimekasvatus!J21), Taimekasvatus!J21, VLOOKUP(H6,'M1 - TK'!$A$38:$F$82,2, FALSE)),0)</f>
        <v>0</v>
      </c>
      <c r="I19" s="179">
        <f>IFERROR(IF(ISNUMBER(Taimekasvatus!K21), Taimekasvatus!K21, VLOOKUP(I6,'M1 - TK'!$A$38:$F$82,2, FALSE)),0)</f>
        <v>0</v>
      </c>
      <c r="J19" s="179">
        <f>IFERROR(IF(ISNUMBER(Taimekasvatus!L21), Taimekasvatus!L21, VLOOKUP(J6,'M1 - TK'!$A$38:$F$82,2, FALSE)),0)</f>
        <v>0</v>
      </c>
      <c r="K19" s="179">
        <f>IFERROR(IF(ISNUMBER(Taimekasvatus!M21), Taimekasvatus!M21, VLOOKUP(K6,'M1 - TK'!$A$38:$F$82,2, FALSE)),0)</f>
        <v>0</v>
      </c>
      <c r="L19" s="179">
        <f>IFERROR(IF(ISNUMBER(Taimekasvatus!N21), Taimekasvatus!N21, VLOOKUP(L6,'M1 - TK'!$A$38:$F$82,2, FALSE)),0)</f>
        <v>0</v>
      </c>
      <c r="M19" s="179">
        <f>IFERROR(IF(ISNUMBER(Taimekasvatus!O21), Taimekasvatus!O21, VLOOKUP(M6,'M1 - TK'!$A$38:$F$82,2, FALSE)),0)</f>
        <v>0</v>
      </c>
      <c r="N19" s="179">
        <f>IFERROR(IF(ISNUMBER(Taimekasvatus!P21), Taimekasvatus!P21, VLOOKUP(N6,'M1 - TK'!$A$38:$F$82,2, FALSE)),0)</f>
        <v>0</v>
      </c>
      <c r="O19" s="179">
        <f>IFERROR(IF(ISNUMBER(Taimekasvatus!Q21), Taimekasvatus!Q21, VLOOKUP(O6,'M1 - TK'!$A$38:$F$82,2, FALSE)),0)</f>
        <v>0</v>
      </c>
      <c r="P19" s="179">
        <f>IFERROR(IF(ISNUMBER(Taimekasvatus!R21), Taimekasvatus!R21, VLOOKUP(P6,'M1 - TK'!$A$38:$F$82,2, FALSE)),0)</f>
        <v>0</v>
      </c>
      <c r="Q19" s="179">
        <f>IFERROR(IF(ISNUMBER(Taimekasvatus!S21), Taimekasvatus!S21, VLOOKUP(Q6,'M1 - TK'!$A$38:$F$82,2, FALSE)),0)</f>
        <v>0</v>
      </c>
      <c r="R19" s="179">
        <f>IFERROR(IF(ISNUMBER(Taimekasvatus!T21), Taimekasvatus!T21, VLOOKUP(R6,'M1 - TK'!$A$38:$F$82,2, FALSE)),0)</f>
        <v>0</v>
      </c>
      <c r="S19" s="179">
        <f>IFERROR(IF(ISNUMBER(Taimekasvatus!U21), Taimekasvatus!U21, VLOOKUP(S6,'M1 - TK'!$A$38:$F$82,2, FALSE)),0)</f>
        <v>0</v>
      </c>
      <c r="T19" s="179">
        <f>IFERROR(IF(ISNUMBER(Taimekasvatus!V21), Taimekasvatus!V21, VLOOKUP(T6,'M1 - TK'!$A$38:$F$82,2, FALSE)),0)</f>
        <v>0</v>
      </c>
      <c r="U19" s="179">
        <f>IFERROR(IF(ISNUMBER(Taimekasvatus!W21), Taimekasvatus!W21, VLOOKUP(U6,'M1 - TK'!$A$38:$F$82,2, FALSE)),0)</f>
        <v>0</v>
      </c>
      <c r="V19" s="179">
        <f>IFERROR(IF(ISNUMBER(Taimekasvatus!X21), Taimekasvatus!X21, VLOOKUP(V6,'M1 - TK'!$A$38:$F$82,2, FALSE)),0)</f>
        <v>0</v>
      </c>
      <c r="W19" s="179">
        <f>IFERROR(IF(ISNUMBER(Taimekasvatus!Y21), Taimekasvatus!Y21, VLOOKUP(W6,'M1 - TK'!$A$38:$F$82,2, FALSE)),0)</f>
        <v>0</v>
      </c>
      <c r="X19" s="179">
        <f>IFERROR(IF(ISNUMBER(Taimekasvatus!Z21), Taimekasvatus!Z21, VLOOKUP(X6,'M1 - TK'!$A$38:$F$82,2, FALSE)),0)</f>
        <v>0</v>
      </c>
      <c r="Y19" s="179"/>
      <c r="Z19" s="179"/>
      <c r="AA19" s="179"/>
      <c r="AB19" s="179"/>
      <c r="AC19" s="179"/>
      <c r="AD19" s="179"/>
      <c r="AE19" s="179"/>
      <c r="AF19" s="179"/>
      <c r="AG19" s="179"/>
      <c r="AH19" s="179"/>
      <c r="AI19" s="179"/>
      <c r="AJ19" s="179"/>
      <c r="AK19" s="179"/>
      <c r="AL19" s="179"/>
      <c r="AM19" s="179"/>
      <c r="AN19" s="179"/>
      <c r="AO19" s="179"/>
      <c r="AP19" s="179"/>
      <c r="AQ19" s="179"/>
      <c r="AR19" s="405"/>
      <c r="AS19" s="42">
        <f t="shared" si="13"/>
        <v>0.86</v>
      </c>
      <c r="AV19" s="1"/>
      <c r="AW19" s="1"/>
      <c r="AY19" s="354"/>
      <c r="AZ19" s="160" t="str">
        <f>Taimekasvatus!F58</f>
        <v>Väetise kogus (kg)</v>
      </c>
      <c r="BA19" s="160" t="str">
        <f>Taimekasvatus!G58</f>
        <v>Lämmastiku %</v>
      </c>
      <c r="BB19" s="160"/>
      <c r="BC19" s="160" t="s">
        <v>15</v>
      </c>
      <c r="BD19" s="88" t="s">
        <v>517</v>
      </c>
      <c r="BH19" s="20">
        <f>Loomakasvatus!B240</f>
        <v>0</v>
      </c>
      <c r="BI19">
        <f>Loomakasvatus!C240</f>
        <v>0</v>
      </c>
      <c r="BJ19">
        <f>Loomakasvatus!D240/1000</f>
        <v>0</v>
      </c>
      <c r="BK19" t="str">
        <f>IFERROR(INDEX('M1 - LK'!$A$301:$AC$369,MATCH(Loomakasvatus!C240,'M1 - LK'!$A$301:$A$369,0),MATCH(Loomakasvatus!B240,'M1 - LK'!$A$301:$AC$301,0)),"0")</f>
        <v>0</v>
      </c>
      <c r="BL19">
        <f t="shared" si="41"/>
        <v>0</v>
      </c>
      <c r="BM19" s="21"/>
      <c r="BP19" s="20">
        <f>Loomakasvatus!B140</f>
        <v>0</v>
      </c>
      <c r="BQ19">
        <f>Loomakasvatus!C140</f>
        <v>0</v>
      </c>
      <c r="BR19">
        <f>Loomakasvatus!D140/1000</f>
        <v>0</v>
      </c>
      <c r="BS19" t="e">
        <f>(INDEX('M1 - LK'!$A$301:$AC$369,MATCH(Loomakasvatus!C140,'M1 - LK'!$A$301:$A$369,0),MATCH(Loomakasvatus!B140,'M1 - LK'!$A$301:$AC$301,0)))</f>
        <v>#N/A</v>
      </c>
      <c r="BT19">
        <f t="shared" si="37"/>
        <v>0</v>
      </c>
      <c r="BU19" s="21"/>
      <c r="BW19" s="20">
        <f>Loomakasvatus!B423</f>
        <v>0</v>
      </c>
      <c r="BX19">
        <f>Loomakasvatus!C423</f>
        <v>0</v>
      </c>
      <c r="BY19">
        <f>Loomakasvatus!D423/1000</f>
        <v>0</v>
      </c>
      <c r="BZ19" t="e">
        <f>INDEX('M1 - LK'!$A$301:$AC$369,MATCH(Loomakasvatus!C423,'M1 - LK'!$A$301:$A$369,0),MATCH(Loomakasvatus!B423,'M1 - LK'!$A$301:$AC$301,0))</f>
        <v>#N/A</v>
      </c>
      <c r="CA19">
        <f t="shared" si="38"/>
        <v>0</v>
      </c>
      <c r="CB19" s="21"/>
      <c r="CD19" s="20">
        <f>Loomakasvatus!B599</f>
        <v>0</v>
      </c>
      <c r="CE19">
        <f>Loomakasvatus!C599</f>
        <v>0</v>
      </c>
      <c r="CF19">
        <f>Loomakasvatus!D599/1000</f>
        <v>0</v>
      </c>
      <c r="CG19" t="e">
        <f>INDEX('M1 - LK'!$A$301:$AC$369,MATCH(CE19,'M1 - LK'!$A$301:$A$369,0),MATCH(CD19,'M1 - LK'!$A$301:$AC$301,0))</f>
        <v>#N/A</v>
      </c>
      <c r="CH19">
        <f t="shared" si="45"/>
        <v>0</v>
      </c>
      <c r="CI19" s="21"/>
      <c r="CK19" s="20" t="str" cm="1">
        <f t="array" ref="CK19:CM23">Loomakasvatus!C366:E370</f>
        <v>Sööt, mille heitetegur on teada</v>
      </c>
      <c r="CL19" t="str">
        <v>Kogus (kg)</v>
      </c>
      <c r="CM19" t="str">
        <v>Heitetegur (kg CO2-ekv/kg)</v>
      </c>
      <c r="CN19" t="s">
        <v>517</v>
      </c>
      <c r="CO19" s="445">
        <f>SUM(CN20:CN23)</f>
        <v>0</v>
      </c>
      <c r="DJ19" t="str">
        <f>Tugitegevused!B7</f>
        <v>Tavaelekter</v>
      </c>
      <c r="DK19">
        <f>Tugitegevused!C7</f>
        <v>0</v>
      </c>
      <c r="DL19">
        <f>IFERROR(VLOOKUP(DJ19,EFid!$A$29:$B$31,2,FALSE),"0")</f>
        <v>0.61196000000000006</v>
      </c>
      <c r="DM19">
        <f t="shared" si="44"/>
        <v>0</v>
      </c>
      <c r="DP19" s="1" t="s">
        <v>536</v>
      </c>
      <c r="DW19" t="s">
        <v>551</v>
      </c>
      <c r="DX19">
        <v>1</v>
      </c>
    </row>
    <row r="20" spans="1:128">
      <c r="B20" s="365" t="s">
        <v>552</v>
      </c>
      <c r="C20" s="3" t="s">
        <v>553</v>
      </c>
      <c r="D20" s="3"/>
      <c r="E20" s="334">
        <f>Taimekasvatus!G22</f>
        <v>0</v>
      </c>
      <c r="F20" s="334">
        <f>Taimekasvatus!H22</f>
        <v>0</v>
      </c>
      <c r="G20" s="334">
        <f>Taimekasvatus!I22</f>
        <v>0</v>
      </c>
      <c r="H20" s="334">
        <f>Taimekasvatus!J22</f>
        <v>0</v>
      </c>
      <c r="I20" s="334">
        <f>Taimekasvatus!K22</f>
        <v>0</v>
      </c>
      <c r="J20" s="334">
        <f>Taimekasvatus!L22</f>
        <v>0</v>
      </c>
      <c r="K20" s="334">
        <f>Taimekasvatus!M22</f>
        <v>0</v>
      </c>
      <c r="L20" s="334">
        <f>Taimekasvatus!N22</f>
        <v>0</v>
      </c>
      <c r="M20" s="334">
        <f>Taimekasvatus!O22</f>
        <v>0</v>
      </c>
      <c r="N20" s="334">
        <f>Taimekasvatus!P22</f>
        <v>0</v>
      </c>
      <c r="O20" s="334">
        <f>Taimekasvatus!Q22</f>
        <v>0</v>
      </c>
      <c r="P20" s="334">
        <f>Taimekasvatus!R22</f>
        <v>0</v>
      </c>
      <c r="Q20" s="334">
        <f>Taimekasvatus!S22</f>
        <v>0</v>
      </c>
      <c r="R20" s="334">
        <f>Taimekasvatus!T22</f>
        <v>0</v>
      </c>
      <c r="S20" s="334">
        <f>Taimekasvatus!U22</f>
        <v>0</v>
      </c>
      <c r="T20" s="334">
        <f>Taimekasvatus!V22</f>
        <v>0</v>
      </c>
      <c r="U20" s="334">
        <f>Taimekasvatus!W22</f>
        <v>0</v>
      </c>
      <c r="V20" s="334">
        <f>Taimekasvatus!X22</f>
        <v>0</v>
      </c>
      <c r="W20" s="334">
        <f>Taimekasvatus!Y22</f>
        <v>0</v>
      </c>
      <c r="X20" s="334">
        <f>Taimekasvatus!Z22</f>
        <v>0</v>
      </c>
      <c r="Y20" s="334">
        <f>Taimekasvatus!AA22</f>
        <v>0</v>
      </c>
      <c r="Z20" s="334">
        <f>Taimekasvatus!AB22</f>
        <v>0</v>
      </c>
      <c r="AA20" s="334">
        <f>Taimekasvatus!AC22</f>
        <v>0</v>
      </c>
      <c r="AB20" s="334">
        <f>Taimekasvatus!AD22</f>
        <v>0</v>
      </c>
      <c r="AC20" s="334">
        <f>Taimekasvatus!AE22</f>
        <v>0</v>
      </c>
      <c r="AD20" s="334">
        <f>Taimekasvatus!AF22</f>
        <v>0</v>
      </c>
      <c r="AE20" s="334">
        <f>Taimekasvatus!AG22</f>
        <v>0</v>
      </c>
      <c r="AF20" s="334">
        <f>Taimekasvatus!AH22</f>
        <v>0</v>
      </c>
      <c r="AG20" s="334">
        <f>Taimekasvatus!AI22</f>
        <v>0</v>
      </c>
      <c r="AH20" s="334">
        <f>Taimekasvatus!AJ22</f>
        <v>0</v>
      </c>
      <c r="AI20" s="334">
        <f>Taimekasvatus!AK22</f>
        <v>0</v>
      </c>
      <c r="AJ20" s="334">
        <f>Taimekasvatus!AL22</f>
        <v>0</v>
      </c>
      <c r="AK20" s="334">
        <f>Taimekasvatus!AM22</f>
        <v>0</v>
      </c>
      <c r="AL20" s="334">
        <f>Taimekasvatus!AN22</f>
        <v>0</v>
      </c>
      <c r="AM20" s="334">
        <f>Taimekasvatus!AO22</f>
        <v>0</v>
      </c>
      <c r="AN20" s="334">
        <f>Taimekasvatus!AP22</f>
        <v>0</v>
      </c>
      <c r="AO20" s="334">
        <f>Taimekasvatus!AQ22</f>
        <v>0</v>
      </c>
      <c r="AP20" s="334">
        <f>Taimekasvatus!AR22</f>
        <v>0</v>
      </c>
      <c r="AQ20" s="334">
        <f>Taimekasvatus!AS22</f>
        <v>0</v>
      </c>
      <c r="AR20" s="334">
        <f>Taimekasvatus!AT22</f>
        <v>0</v>
      </c>
      <c r="AS20" s="42">
        <f t="shared" si="13"/>
        <v>0</v>
      </c>
      <c r="AU20" t="s">
        <v>22</v>
      </c>
      <c r="AY20" s="20" t="str">
        <f>Taimekasvatus!D57</f>
        <v>Soetatud väetised</v>
      </c>
      <c r="AZ20" s="20">
        <f>Taimekasvatus!F57</f>
        <v>0</v>
      </c>
      <c r="BA20" s="20">
        <f>Taimekasvatus!G57</f>
        <v>0</v>
      </c>
      <c r="BB20" s="1"/>
      <c r="BC20" s="1"/>
      <c r="BH20" s="20">
        <f>Loomakasvatus!B241</f>
        <v>0</v>
      </c>
      <c r="BI20">
        <f>Loomakasvatus!C241</f>
        <v>0</v>
      </c>
      <c r="BJ20">
        <f>Loomakasvatus!D241/1000</f>
        <v>0</v>
      </c>
      <c r="BK20" t="str">
        <f>IFERROR(INDEX('M1 - LK'!$A$301:$AC$369,MATCH(Loomakasvatus!C241,'M1 - LK'!$A$301:$A$369,0),MATCH(Loomakasvatus!B241,'M1 - LK'!$A$301:$AC$301,0)),"0")</f>
        <v>0</v>
      </c>
      <c r="BL20">
        <f t="shared" si="41"/>
        <v>0</v>
      </c>
      <c r="BM20" s="21"/>
      <c r="BP20" s="20">
        <f>Loomakasvatus!B141</f>
        <v>0</v>
      </c>
      <c r="BQ20">
        <f>Loomakasvatus!C141</f>
        <v>0</v>
      </c>
      <c r="BR20">
        <f>Loomakasvatus!D141/1000</f>
        <v>0</v>
      </c>
      <c r="BS20" t="e">
        <f>(INDEX('M1 - LK'!$A$301:$AC$369,MATCH(Loomakasvatus!C141,'M1 - LK'!$A$301:$A$369,0),MATCH(Loomakasvatus!B141,'M1 - LK'!$A$301:$AC$301,0)))</f>
        <v>#N/A</v>
      </c>
      <c r="BT20">
        <f t="shared" si="37"/>
        <v>0</v>
      </c>
      <c r="BU20" s="21"/>
      <c r="BW20" s="20">
        <f>Loomakasvatus!B424</f>
        <v>0</v>
      </c>
      <c r="BX20">
        <f>Loomakasvatus!C424</f>
        <v>0</v>
      </c>
      <c r="BY20">
        <f>Loomakasvatus!D424/1000</f>
        <v>0</v>
      </c>
      <c r="BZ20" t="e">
        <f>INDEX('M1 - LK'!$A$301:$AC$369,MATCH(Loomakasvatus!C424,'M1 - LK'!$A$301:$A$369,0),MATCH(Loomakasvatus!B424,'M1 - LK'!$A$301:$AC$301,0))</f>
        <v>#N/A</v>
      </c>
      <c r="CA20">
        <f t="shared" ref="CA20:CA26" si="46">IFERROR(BZ20*BY20,0)</f>
        <v>0</v>
      </c>
      <c r="CB20" s="21"/>
      <c r="CD20" s="20">
        <f>Loomakasvatus!B600</f>
        <v>0</v>
      </c>
      <c r="CE20">
        <f>Loomakasvatus!C600</f>
        <v>0</v>
      </c>
      <c r="CF20">
        <f>Loomakasvatus!D600/1000</f>
        <v>0</v>
      </c>
      <c r="CG20" t="e">
        <f>INDEX('M1 - LK'!$A$301:$AC$369,MATCH(CE20,'M1 - LK'!$A$301:$A$369,0),MATCH(CD20,'M1 - LK'!$A$301:$AC$301,0))</f>
        <v>#N/A</v>
      </c>
      <c r="CH20">
        <f t="shared" si="45"/>
        <v>0</v>
      </c>
      <c r="CI20" s="21"/>
      <c r="CK20" s="20">
        <v>0</v>
      </c>
      <c r="CL20">
        <v>0</v>
      </c>
      <c r="CM20">
        <v>0</v>
      </c>
      <c r="CN20">
        <f>CL20*CM20</f>
        <v>0</v>
      </c>
      <c r="CO20" s="21"/>
      <c r="DP20">
        <f>(DK22/(1-EFid!$B$98/100)-DK22)*DL22</f>
        <v>0</v>
      </c>
      <c r="DQ20">
        <f>IFERROR(VLOOKUP(DJ22,$DW$17:$DX$28,2,FALSE),0)</f>
        <v>1</v>
      </c>
      <c r="DR20">
        <f>DP20*DQ20</f>
        <v>0</v>
      </c>
      <c r="DS20" s="444">
        <f>SUM(DR20:DR25)</f>
        <v>0</v>
      </c>
      <c r="DW20" t="s">
        <v>554</v>
      </c>
      <c r="DX20">
        <v>1</v>
      </c>
    </row>
    <row r="21" spans="1:128">
      <c r="B21" s="20" t="s">
        <v>555</v>
      </c>
      <c r="C21" t="s">
        <v>556</v>
      </c>
      <c r="E21" s="61">
        <f>IFERROR(VLOOKUP(E6,'M1 - TK'!$A$38:$F$82,3, FALSE),0)</f>
        <v>0.875</v>
      </c>
      <c r="F21" s="61">
        <f>IFERROR(VLOOKUP(F6,'M1 - TK'!$A$38:$F$82,3, FALSE),0)</f>
        <v>0</v>
      </c>
      <c r="G21" s="61">
        <f>IFERROR(VLOOKUP(G6,'M1 - TK'!$A$38:$F$82,3, FALSE),0)</f>
        <v>0</v>
      </c>
      <c r="H21" s="61">
        <f>IFERROR(VLOOKUP(H6,'M1 - TK'!$A$38:$F$82,3, FALSE),0)</f>
        <v>0</v>
      </c>
      <c r="I21" s="61">
        <f>IFERROR(VLOOKUP(I6,'M1 - TK'!$A$38:$F$82,3, FALSE),0)</f>
        <v>0</v>
      </c>
      <c r="J21" s="61">
        <f>IFERROR(VLOOKUP(J6,'M1 - TK'!$A$38:$F$82,3, FALSE),0)</f>
        <v>0</v>
      </c>
      <c r="K21" s="61">
        <f>IFERROR(VLOOKUP(K6,'M1 - TK'!$A$38:$F$82,3, FALSE),0)</f>
        <v>0</v>
      </c>
      <c r="L21" s="61">
        <f>IFERROR(VLOOKUP(L6,'M1 - TK'!$A$38:$F$82,3, FALSE),0)</f>
        <v>0</v>
      </c>
      <c r="M21" s="61">
        <f>IFERROR(VLOOKUP(M6,'M1 - TK'!$A$38:$F$82,3, FALSE),0)</f>
        <v>0</v>
      </c>
      <c r="N21" s="61">
        <f>IFERROR(VLOOKUP(N6,'M1 - TK'!$A$38:$F$82,3, FALSE),0)</f>
        <v>0</v>
      </c>
      <c r="O21" s="61">
        <f>IFERROR(VLOOKUP(O6,'M1 - TK'!$A$38:$F$82,3, FALSE),0)</f>
        <v>0</v>
      </c>
      <c r="P21" s="61">
        <f>IFERROR(VLOOKUP(P6,'M1 - TK'!$A$38:$F$82,3, FALSE),0)</f>
        <v>0</v>
      </c>
      <c r="Q21" s="61">
        <f>IFERROR(VLOOKUP(Q6,'M1 - TK'!$A$38:$F$82,3, FALSE),0)</f>
        <v>0</v>
      </c>
      <c r="R21" s="61">
        <f>IFERROR(VLOOKUP(R6,'M1 - TK'!$A$38:$F$82,3, FALSE),0)</f>
        <v>0</v>
      </c>
      <c r="S21" s="61">
        <f>IFERROR(VLOOKUP(S6,'M1 - TK'!$A$38:$F$82,3, FALSE),0)</f>
        <v>0</v>
      </c>
      <c r="T21" s="61">
        <f>IFERROR(VLOOKUP(T6,'M1 - TK'!$A$38:$F$82,3, FALSE),0)</f>
        <v>0</v>
      </c>
      <c r="U21" s="61">
        <f>IFERROR(VLOOKUP(U6,'M1 - TK'!$A$38:$F$82,3, FALSE),0)</f>
        <v>0</v>
      </c>
      <c r="V21" s="61">
        <f>IFERROR(VLOOKUP(V6,'M1 - TK'!$A$38:$F$82,3, FALSE),0)</f>
        <v>0</v>
      </c>
      <c r="W21" s="61">
        <f>IFERROR(VLOOKUP(W6,'M1 - TK'!$A$38:$F$82,3, FALSE),0)</f>
        <v>0</v>
      </c>
      <c r="X21" s="61">
        <f>IFERROR(VLOOKUP(X6,'M1 - TK'!$A$38:$F$82,3, FALSE),0)</f>
        <v>0</v>
      </c>
      <c r="Y21" s="61"/>
      <c r="Z21" s="61"/>
      <c r="AA21" s="61"/>
      <c r="AB21" s="61"/>
      <c r="AC21" s="61"/>
      <c r="AD21" s="61"/>
      <c r="AE21" s="61"/>
      <c r="AF21" s="61"/>
      <c r="AG21" s="61"/>
      <c r="AH21" s="61"/>
      <c r="AI21" s="61"/>
      <c r="AJ21" s="61"/>
      <c r="AK21" s="61"/>
      <c r="AL21" s="61"/>
      <c r="AM21" s="61"/>
      <c r="AN21" s="61"/>
      <c r="AO21" s="61"/>
      <c r="AP21" s="61"/>
      <c r="AQ21" s="61"/>
      <c r="AR21" s="186"/>
      <c r="AS21" s="42">
        <f t="shared" si="13"/>
        <v>0.875</v>
      </c>
      <c r="AU21" t="s">
        <v>557</v>
      </c>
      <c r="AY21" s="20" t="str">
        <f>Taimekasvatus!E58</f>
        <v>Lämmastiku vorm väetises</v>
      </c>
      <c r="AZ21" s="20" t="str">
        <f>Taimekasvatus!F58</f>
        <v>Väetise kogus (kg)</v>
      </c>
      <c r="BA21" s="20" t="str">
        <f>Taimekasvatus!G58</f>
        <v>Lämmastiku %</v>
      </c>
      <c r="BD21" s="445">
        <f>SUM(BD22:BD34)</f>
        <v>0</v>
      </c>
      <c r="BE21" t="s">
        <v>558</v>
      </c>
      <c r="BH21" s="20">
        <f>Loomakasvatus!B242</f>
        <v>0</v>
      </c>
      <c r="BI21">
        <f>Loomakasvatus!C242</f>
        <v>0</v>
      </c>
      <c r="BJ21">
        <f>Loomakasvatus!D242/1000</f>
        <v>0</v>
      </c>
      <c r="BK21" t="str">
        <f>IFERROR(INDEX('M1 - LK'!$A$301:$AC$369,MATCH(Loomakasvatus!C242,'M1 - LK'!$A$301:$A$369,0),MATCH(Loomakasvatus!B242,'M1 - LK'!$A$301:$AC$301,0)),"0")</f>
        <v>0</v>
      </c>
      <c r="BL21">
        <f t="shared" si="41"/>
        <v>0</v>
      </c>
      <c r="BM21" s="21"/>
      <c r="BP21" s="20">
        <f>Loomakasvatus!B142</f>
        <v>0</v>
      </c>
      <c r="BQ21">
        <f>Loomakasvatus!C142</f>
        <v>0</v>
      </c>
      <c r="BR21">
        <f>Loomakasvatus!D142/1000</f>
        <v>0</v>
      </c>
      <c r="BS21" t="e">
        <f>(INDEX('M1 - LK'!$A$301:$AC$369,MATCH(Loomakasvatus!C142,'M1 - LK'!$A$301:$A$369,0),MATCH(Loomakasvatus!B142,'M1 - LK'!$A$301:$AC$301,0)))</f>
        <v>#N/A</v>
      </c>
      <c r="BT21">
        <f t="shared" si="37"/>
        <v>0</v>
      </c>
      <c r="BU21" s="21"/>
      <c r="BW21" s="20">
        <f>Loomakasvatus!B425</f>
        <v>0</v>
      </c>
      <c r="BX21">
        <f>Loomakasvatus!C425</f>
        <v>0</v>
      </c>
      <c r="BY21">
        <f>Loomakasvatus!D425/1000</f>
        <v>0</v>
      </c>
      <c r="BZ21" t="e">
        <f>INDEX('M1 - LK'!$A$301:$AC$369,MATCH(Loomakasvatus!C425,'M1 - LK'!$A$301:$A$369,0),MATCH(Loomakasvatus!B425,'M1 - LK'!$A$301:$AC$301,0))</f>
        <v>#N/A</v>
      </c>
      <c r="CA21">
        <f t="shared" si="46"/>
        <v>0</v>
      </c>
      <c r="CB21" s="21"/>
      <c r="CD21" s="20">
        <f>Loomakasvatus!B601</f>
        <v>0</v>
      </c>
      <c r="CE21">
        <f>Loomakasvatus!C601</f>
        <v>0</v>
      </c>
      <c r="CF21">
        <f>Loomakasvatus!D601/1000</f>
        <v>0</v>
      </c>
      <c r="CG21" t="e">
        <f>INDEX('M1 - LK'!$A$301:$AC$369,MATCH(CE21,'M1 - LK'!$A$301:$A$369,0),MATCH(CD21,'M1 - LK'!$A$301:$AC$301,0))</f>
        <v>#N/A</v>
      </c>
      <c r="CH21">
        <f t="shared" si="45"/>
        <v>0</v>
      </c>
      <c r="CI21" s="21"/>
      <c r="CK21" s="20">
        <v>0</v>
      </c>
      <c r="CL21">
        <v>0</v>
      </c>
      <c r="CM21">
        <v>0</v>
      </c>
      <c r="CN21">
        <f t="shared" ref="CN21:CN23" si="47">CL21*CM21</f>
        <v>0</v>
      </c>
      <c r="CO21" s="21"/>
      <c r="DJ21" s="1" t="s">
        <v>455</v>
      </c>
      <c r="DK21" s="1" t="s">
        <v>108</v>
      </c>
      <c r="DL21" s="1" t="s">
        <v>516</v>
      </c>
      <c r="DM21" s="1" t="s">
        <v>524</v>
      </c>
      <c r="DP21">
        <f>(DK23/(1-EFid!$B$98/100)-DK23)*DL23</f>
        <v>0</v>
      </c>
      <c r="DQ21">
        <f t="shared" ref="DQ21:DQ25" si="48">IFERROR(VLOOKUP(DJ23,$DW$17:$DX$28,2,FALSE),0)</f>
        <v>0</v>
      </c>
      <c r="DR21">
        <f t="shared" ref="DR21:DR25" si="49">DP21*DQ21</f>
        <v>0</v>
      </c>
      <c r="DW21" t="s">
        <v>559</v>
      </c>
      <c r="DX21">
        <v>1</v>
      </c>
    </row>
    <row r="22" spans="1:128">
      <c r="B22" s="20" t="s">
        <v>560</v>
      </c>
      <c r="C22" t="s">
        <v>561</v>
      </c>
      <c r="E22" s="440">
        <f>IFERROR(VLOOKUP(E6,'M1 - TK'!$A$38:$F$82,4, FALSE),0)</f>
        <v>5.1000000000000004E-3</v>
      </c>
      <c r="F22" s="440">
        <f>IFERROR(VLOOKUP(F6,'M1 - TK'!$A$38:$F$82,4, FALSE),0)</f>
        <v>0</v>
      </c>
      <c r="G22" s="440">
        <f>IFERROR(VLOOKUP(G6,'M1 - TK'!$A$38:$F$82,4, FALSE),0)</f>
        <v>0</v>
      </c>
      <c r="H22" s="440">
        <f>IFERROR(VLOOKUP(H6,'M1 - TK'!$A$38:$F$82,4, FALSE),0)</f>
        <v>0</v>
      </c>
      <c r="I22" s="440">
        <f>IFERROR(VLOOKUP(I6,'M1 - TK'!$A$38:$F$82,4, FALSE),0)</f>
        <v>0</v>
      </c>
      <c r="J22" s="440">
        <f>IFERROR(VLOOKUP(J6,'M1 - TK'!$A$38:$F$82,4, FALSE),0)</f>
        <v>0</v>
      </c>
      <c r="K22" s="440">
        <f>IFERROR(VLOOKUP(K6,'M1 - TK'!$A$38:$F$82,4, FALSE),0)</f>
        <v>0</v>
      </c>
      <c r="L22" s="440">
        <f>IFERROR(VLOOKUP(L6,'M1 - TK'!$A$38:$F$82,4, FALSE),0)</f>
        <v>0</v>
      </c>
      <c r="M22" s="440">
        <f>IFERROR(VLOOKUP(M6,'M1 - TK'!$A$38:$F$82,4, FALSE),0)</f>
        <v>0</v>
      </c>
      <c r="N22" s="440">
        <f>IFERROR(VLOOKUP(N6,'M1 - TK'!$A$38:$F$82,4, FALSE),0)</f>
        <v>0</v>
      </c>
      <c r="O22" s="440">
        <f>IFERROR(VLOOKUP(O6,'M1 - TK'!$A$38:$F$82,4, FALSE),0)</f>
        <v>0</v>
      </c>
      <c r="P22" s="440">
        <f>IFERROR(VLOOKUP(P6,'M1 - TK'!$A$38:$F$82,4, FALSE),0)</f>
        <v>0</v>
      </c>
      <c r="Q22" s="440">
        <f>IFERROR(VLOOKUP(Q6,'M1 - TK'!$A$38:$F$82,4, FALSE),0)</f>
        <v>0</v>
      </c>
      <c r="R22" s="440">
        <f>IFERROR(VLOOKUP(R6,'M1 - TK'!$A$38:$F$82,4, FALSE),0)</f>
        <v>0</v>
      </c>
      <c r="S22" s="440">
        <f>IFERROR(VLOOKUP(S6,'M1 - TK'!$A$38:$F$82,4, FALSE),0)</f>
        <v>0</v>
      </c>
      <c r="T22" s="440">
        <f>IFERROR(VLOOKUP(T6,'M1 - TK'!$A$38:$F$82,4, FALSE),0)</f>
        <v>0</v>
      </c>
      <c r="U22" s="440">
        <f>IFERROR(VLOOKUP(U6,'M1 - TK'!$A$38:$F$82,4, FALSE),0)</f>
        <v>0</v>
      </c>
      <c r="V22" s="440">
        <f>IFERROR(VLOOKUP(V6,'M1 - TK'!$A$38:$F$82,4, FALSE),0)</f>
        <v>0</v>
      </c>
      <c r="W22" s="440">
        <f>IFERROR(VLOOKUP(W6,'M1 - TK'!$A$38:$F$82,4, FALSE),0)</f>
        <v>0</v>
      </c>
      <c r="X22" s="440">
        <f>IFERROR(VLOOKUP(X6,'M1 - TK'!$A$38:$F$82,4, FALSE),0)</f>
        <v>0</v>
      </c>
      <c r="Y22" s="440"/>
      <c r="Z22" s="440"/>
      <c r="AA22" s="440"/>
      <c r="AB22" s="440"/>
      <c r="AC22" s="440"/>
      <c r="AD22" s="440"/>
      <c r="AE22" s="440"/>
      <c r="AF22" s="440"/>
      <c r="AG22" s="440"/>
      <c r="AH22" s="440"/>
      <c r="AI22" s="440"/>
      <c r="AJ22" s="440"/>
      <c r="AK22" s="440"/>
      <c r="AL22" s="440"/>
      <c r="AM22" s="440"/>
      <c r="AN22" s="440"/>
      <c r="AO22" s="440"/>
      <c r="AP22" s="440"/>
      <c r="AQ22" s="440"/>
      <c r="AR22" s="440"/>
      <c r="AS22" s="42">
        <f t="shared" si="13"/>
        <v>5.1000000000000004E-3</v>
      </c>
      <c r="AU22" t="s">
        <v>557</v>
      </c>
      <c r="AY22" s="20">
        <f>Taimekasvatus!E59</f>
        <v>0</v>
      </c>
      <c r="AZ22" s="20">
        <f>Taimekasvatus!F59</f>
        <v>0</v>
      </c>
      <c r="BA22" s="20">
        <f>Taimekasvatus!G59</f>
        <v>0</v>
      </c>
      <c r="BB22" t="str">
        <f>IFERROR(VLOOKUP(AY22,'EFid TK'!$A$38:$B$104,2,FALSE),"")</f>
        <v/>
      </c>
      <c r="BC22" t="str">
        <f>IFERROR(VLOOKUP(AY22,'EFid TK'!$A$38:$C$104,3,FALSE),"")</f>
        <v/>
      </c>
      <c r="BD22" s="21">
        <f>IFERROR(BA22/100*AZ22*BB22,0)</f>
        <v>0</v>
      </c>
      <c r="BE22">
        <f t="shared" ref="BE22:BE34" si="50">BA22/100*AZ22</f>
        <v>0</v>
      </c>
      <c r="BF22" s="444">
        <f>SUM(BE22:BE34)</f>
        <v>0</v>
      </c>
      <c r="BH22" s="20">
        <f>Loomakasvatus!B243</f>
        <v>0</v>
      </c>
      <c r="BI22">
        <f>Loomakasvatus!C243</f>
        <v>0</v>
      </c>
      <c r="BJ22">
        <f>Loomakasvatus!D243/1000</f>
        <v>0</v>
      </c>
      <c r="BK22" t="str">
        <f>IFERROR(INDEX('M1 - LK'!$A$301:$AC$369,MATCH(Loomakasvatus!C243,'M1 - LK'!$A$301:$A$369,0),MATCH(Loomakasvatus!B243,'M1 - LK'!$A$301:$AC$301,0)),"0")</f>
        <v>0</v>
      </c>
      <c r="BL22">
        <f t="shared" si="41"/>
        <v>0</v>
      </c>
      <c r="BM22" s="21"/>
      <c r="BP22" s="20">
        <f>Loomakasvatus!B143</f>
        <v>0</v>
      </c>
      <c r="BQ22">
        <f>Loomakasvatus!C143</f>
        <v>0</v>
      </c>
      <c r="BR22">
        <f>Loomakasvatus!D143/1000</f>
        <v>0</v>
      </c>
      <c r="BS22" t="e">
        <f>(INDEX('M1 - LK'!$A$301:$AC$369,MATCH(Loomakasvatus!C143,'M1 - LK'!$A$301:$A$369,0),MATCH(Loomakasvatus!B143,'M1 - LK'!$A$301:$AC$301,0)))</f>
        <v>#N/A</v>
      </c>
      <c r="BT22">
        <f t="shared" si="37"/>
        <v>0</v>
      </c>
      <c r="BU22" s="21"/>
      <c r="BW22" s="20">
        <f>Loomakasvatus!B426</f>
        <v>0</v>
      </c>
      <c r="BX22">
        <f>Loomakasvatus!C426</f>
        <v>0</v>
      </c>
      <c r="BY22">
        <f>Loomakasvatus!D426/1000</f>
        <v>0</v>
      </c>
      <c r="BZ22" t="e">
        <f>INDEX('M1 - LK'!$A$301:$AC$369,MATCH(Loomakasvatus!C426,'M1 - LK'!$A$301:$A$369,0),MATCH(Loomakasvatus!B426,'M1 - LK'!$A$301:$AC$301,0))</f>
        <v>#N/A</v>
      </c>
      <c r="CA22">
        <f t="shared" si="46"/>
        <v>0</v>
      </c>
      <c r="CB22" s="21"/>
      <c r="CD22" s="20">
        <f>Loomakasvatus!B602</f>
        <v>0</v>
      </c>
      <c r="CE22">
        <f>Loomakasvatus!C602</f>
        <v>0</v>
      </c>
      <c r="CF22">
        <f>Loomakasvatus!D602/1000</f>
        <v>0</v>
      </c>
      <c r="CG22" t="e">
        <f>INDEX('M1 - LK'!$A$301:$AC$369,MATCH(CE22,'M1 - LK'!$A$301:$A$369,0),MATCH(CD22,'M1 - LK'!$A$301:$AC$301,0))</f>
        <v>#N/A</v>
      </c>
      <c r="CH22">
        <f t="shared" si="45"/>
        <v>0</v>
      </c>
      <c r="CI22" s="21"/>
      <c r="CK22" s="20">
        <v>0</v>
      </c>
      <c r="CL22">
        <v>0</v>
      </c>
      <c r="CM22">
        <v>0</v>
      </c>
      <c r="CN22">
        <f t="shared" si="47"/>
        <v>0</v>
      </c>
      <c r="CO22" s="21"/>
      <c r="DJ22" t="str">
        <f>Tugitegevused!B16</f>
        <v>Kaugküte - Eesti keskmine</v>
      </c>
      <c r="DK22">
        <f>Tugitegevused!C16</f>
        <v>0</v>
      </c>
      <c r="DL22">
        <f>IFERROR(VLOOKUP(Ettev_kalk!DJ22,EFid!$A$35:$B$46,2,FALSE),"0")</f>
        <v>0.15716923208886271</v>
      </c>
      <c r="DM22">
        <f>DK22*DL22</f>
        <v>0</v>
      </c>
      <c r="DN22">
        <f>SUM(DM22:DM27)</f>
        <v>0</v>
      </c>
      <c r="DP22">
        <f>(DK24/(1-EFid!$B$98/100)-DK24)*DL24</f>
        <v>0</v>
      </c>
      <c r="DQ22">
        <f t="shared" si="48"/>
        <v>1</v>
      </c>
      <c r="DR22">
        <f t="shared" si="49"/>
        <v>0</v>
      </c>
      <c r="DW22" t="s">
        <v>374</v>
      </c>
      <c r="DX22">
        <v>1</v>
      </c>
    </row>
    <row r="23" spans="1:128">
      <c r="B23" s="20" t="s">
        <v>562</v>
      </c>
      <c r="C23" t="s">
        <v>563</v>
      </c>
      <c r="E23" s="62">
        <f>Taimekasvatus!G23</f>
        <v>0</v>
      </c>
      <c r="F23" s="62">
        <f>Taimekasvatus!H23</f>
        <v>0</v>
      </c>
      <c r="G23" s="62">
        <f>Taimekasvatus!I23</f>
        <v>0</v>
      </c>
      <c r="H23" s="62">
        <f>Taimekasvatus!J23</f>
        <v>0</v>
      </c>
      <c r="I23" s="62">
        <f>Taimekasvatus!K23</f>
        <v>0</v>
      </c>
      <c r="J23" s="62">
        <f>Taimekasvatus!L23</f>
        <v>0</v>
      </c>
      <c r="K23" s="62">
        <f>Taimekasvatus!M23</f>
        <v>0</v>
      </c>
      <c r="L23" s="62">
        <f>Taimekasvatus!N23</f>
        <v>0</v>
      </c>
      <c r="M23" s="62">
        <f>Taimekasvatus!O23</f>
        <v>0</v>
      </c>
      <c r="N23" s="62">
        <f>Taimekasvatus!P23</f>
        <v>0</v>
      </c>
      <c r="O23" s="62">
        <f>Taimekasvatus!Q23</f>
        <v>0</v>
      </c>
      <c r="P23" s="62">
        <f>Taimekasvatus!R23</f>
        <v>0</v>
      </c>
      <c r="Q23" s="62">
        <f>Taimekasvatus!S23</f>
        <v>0</v>
      </c>
      <c r="R23" s="62">
        <f>Taimekasvatus!T23</f>
        <v>0</v>
      </c>
      <c r="S23" s="62">
        <f>Taimekasvatus!U23</f>
        <v>0</v>
      </c>
      <c r="T23" s="62">
        <f>Taimekasvatus!V23</f>
        <v>0</v>
      </c>
      <c r="U23" s="62">
        <f>Taimekasvatus!W23</f>
        <v>0</v>
      </c>
      <c r="V23" s="62">
        <f>Taimekasvatus!X23</f>
        <v>0</v>
      </c>
      <c r="W23" s="62">
        <f>Taimekasvatus!Y23</f>
        <v>0</v>
      </c>
      <c r="X23" s="62">
        <f>Taimekasvatus!Z23</f>
        <v>0</v>
      </c>
      <c r="Y23" s="62"/>
      <c r="Z23" s="62"/>
      <c r="AA23" s="62"/>
      <c r="AB23" s="62"/>
      <c r="AC23" s="62"/>
      <c r="AD23" s="62"/>
      <c r="AE23" s="62"/>
      <c r="AF23" s="62"/>
      <c r="AG23" s="62"/>
      <c r="AH23" s="62"/>
      <c r="AI23" s="62"/>
      <c r="AJ23" s="62"/>
      <c r="AK23" s="62"/>
      <c r="AL23" s="62"/>
      <c r="AM23" s="62"/>
      <c r="AN23" s="62"/>
      <c r="AO23" s="62"/>
      <c r="AP23" s="62"/>
      <c r="AQ23" s="62"/>
      <c r="AR23" s="131"/>
      <c r="AS23" s="42">
        <f t="shared" si="13"/>
        <v>0</v>
      </c>
      <c r="AU23" t="s">
        <v>564</v>
      </c>
      <c r="AV23" s="1"/>
      <c r="AW23" s="1"/>
      <c r="AX23" s="1"/>
      <c r="AY23" s="20">
        <f>Taimekasvatus!E60</f>
        <v>0</v>
      </c>
      <c r="AZ23" s="20">
        <f>Taimekasvatus!F60</f>
        <v>0</v>
      </c>
      <c r="BA23" s="20">
        <f>Taimekasvatus!G60</f>
        <v>0</v>
      </c>
      <c r="BB23" t="str">
        <f>IFERROR(VLOOKUP(AY23,'EFid TK'!$A$38:$B$104,2,FALSE),"")</f>
        <v/>
      </c>
      <c r="BC23" t="str">
        <f>IFERROR(VLOOKUP(AY23,'EFid TK'!$A$38:$C$104,3,FALSE),"")</f>
        <v/>
      </c>
      <c r="BD23" s="21">
        <f t="shared" ref="BD23:BD34" si="51">IFERROR(BA23/100*AZ23*BB23,0)</f>
        <v>0</v>
      </c>
      <c r="BE23">
        <f t="shared" si="50"/>
        <v>0</v>
      </c>
      <c r="BH23" s="20">
        <f>Loomakasvatus!B244</f>
        <v>0</v>
      </c>
      <c r="BI23">
        <f>Loomakasvatus!C244</f>
        <v>0</v>
      </c>
      <c r="BJ23">
        <f>Loomakasvatus!D244/1000</f>
        <v>0</v>
      </c>
      <c r="BK23" t="str">
        <f>IFERROR(INDEX('M1 - LK'!$A$301:$AC$369,MATCH(Loomakasvatus!C244,'M1 - LK'!$A$301:$A$369,0),MATCH(Loomakasvatus!B244,'M1 - LK'!$A$301:$AC$301,0)),"0")</f>
        <v>0</v>
      </c>
      <c r="BL23">
        <f>IFERROR(BK23*BJ23,0)</f>
        <v>0</v>
      </c>
      <c r="BM23" s="21"/>
      <c r="BP23" s="20">
        <f>Loomakasvatus!B144</f>
        <v>0</v>
      </c>
      <c r="BQ23">
        <f>Loomakasvatus!C144</f>
        <v>0</v>
      </c>
      <c r="BR23">
        <f>Loomakasvatus!D144/1000</f>
        <v>0</v>
      </c>
      <c r="BS23" t="e">
        <f>(INDEX('M1 - LK'!$A$301:$AC$369,MATCH(Loomakasvatus!C144,'M1 - LK'!$A$301:$A$369,0),MATCH(Loomakasvatus!B144,'M1 - LK'!$A$301:$AC$301,0)))</f>
        <v>#N/A</v>
      </c>
      <c r="BT23">
        <f t="shared" si="37"/>
        <v>0</v>
      </c>
      <c r="BU23" s="21"/>
      <c r="BW23" s="20">
        <f>Loomakasvatus!B427</f>
        <v>0</v>
      </c>
      <c r="BX23">
        <f>Loomakasvatus!C427</f>
        <v>0</v>
      </c>
      <c r="BY23">
        <f>Loomakasvatus!D427/1000</f>
        <v>0</v>
      </c>
      <c r="BZ23" t="e">
        <f>INDEX('M1 - LK'!$A$301:$AC$369,MATCH(Loomakasvatus!C427,'M1 - LK'!$A$301:$A$369,0),MATCH(Loomakasvatus!B427,'M1 - LK'!$A$301:$AC$301,0))</f>
        <v>#N/A</v>
      </c>
      <c r="CA23">
        <f t="shared" si="46"/>
        <v>0</v>
      </c>
      <c r="CB23" s="21"/>
      <c r="CD23" s="20">
        <f>Loomakasvatus!B603</f>
        <v>0</v>
      </c>
      <c r="CE23">
        <f>Loomakasvatus!C603</f>
        <v>0</v>
      </c>
      <c r="CF23">
        <f>Loomakasvatus!D603/1000</f>
        <v>0</v>
      </c>
      <c r="CG23" t="e">
        <f>INDEX('M1 - LK'!$A$301:$AC$369,MATCH(CE23,'M1 - LK'!$A$301:$A$369,0),MATCH(CD23,'M1 - LK'!$A$301:$AC$301,0))</f>
        <v>#N/A</v>
      </c>
      <c r="CH23">
        <f t="shared" si="45"/>
        <v>0</v>
      </c>
      <c r="CI23" s="21"/>
      <c r="CK23" s="20">
        <v>0</v>
      </c>
      <c r="CL23">
        <v>0</v>
      </c>
      <c r="CM23">
        <v>0</v>
      </c>
      <c r="CN23">
        <f t="shared" si="47"/>
        <v>0</v>
      </c>
      <c r="CO23" s="21"/>
      <c r="DJ23" t="str">
        <f>Tugitegevused!B17</f>
        <v xml:space="preserve">Lokaalküte - kerge kütteõli </v>
      </c>
      <c r="DK23">
        <f>Tugitegevused!C17</f>
        <v>0</v>
      </c>
      <c r="DL23">
        <f>IFERROR(VLOOKUP(Ettev_kalk!DJ23,EFid!$A$35:$B$46,2,FALSE),"0")</f>
        <v>0.29616411306730711</v>
      </c>
      <c r="DM23">
        <f t="shared" ref="DM23:DM27" si="52">DK23*DL23</f>
        <v>0</v>
      </c>
      <c r="DP23">
        <f>(DK25/(1-EFid!$B$98/100)-DK25)*DL25</f>
        <v>0</v>
      </c>
      <c r="DQ23">
        <f t="shared" si="48"/>
        <v>0</v>
      </c>
      <c r="DR23">
        <f t="shared" si="49"/>
        <v>0</v>
      </c>
      <c r="DW23" t="s">
        <v>565</v>
      </c>
      <c r="DX23">
        <v>1</v>
      </c>
    </row>
    <row r="24" spans="1:128" ht="15" thickBot="1">
      <c r="B24" s="20" t="s">
        <v>566</v>
      </c>
      <c r="C24" t="s">
        <v>567</v>
      </c>
      <c r="E24" s="61">
        <f>IFERROR(VLOOKUP(E6,'M1 - TK'!$A$38:$F$82,5, FALSE),0)</f>
        <v>0.23</v>
      </c>
      <c r="F24" s="61">
        <f>IFERROR(VLOOKUP(F6,'M1 - TK'!$A$38:$F$82,5, FALSE),0)</f>
        <v>0</v>
      </c>
      <c r="G24" s="61">
        <f>IFERROR(VLOOKUP(G6,'M1 - TK'!$A$38:$F$82,5, FALSE),0)</f>
        <v>0</v>
      </c>
      <c r="H24" s="61">
        <f>IFERROR(VLOOKUP(H6,'M1 - TK'!$A$38:$F$82,5, FALSE),0)</f>
        <v>0</v>
      </c>
      <c r="I24" s="61">
        <f>IFERROR(VLOOKUP(I6,'M1 - TK'!$A$38:$F$82,5, FALSE),0)</f>
        <v>0</v>
      </c>
      <c r="J24" s="61">
        <f>IFERROR(VLOOKUP(J6,'M1 - TK'!$A$38:$F$82,5, FALSE),0)</f>
        <v>0</v>
      </c>
      <c r="K24" s="61">
        <f>IFERROR(VLOOKUP(K6,'M1 - TK'!$A$38:$F$82,5, FALSE),0)</f>
        <v>0</v>
      </c>
      <c r="L24" s="61">
        <f>IFERROR(VLOOKUP(L6,'M1 - TK'!$A$38:$F$82,5, FALSE),0)</f>
        <v>0</v>
      </c>
      <c r="M24" s="61">
        <f>IFERROR(VLOOKUP(M6,'M1 - TK'!$A$38:$F$82,5, FALSE),0)</f>
        <v>0</v>
      </c>
      <c r="N24" s="61">
        <f>IFERROR(VLOOKUP(N6,'M1 - TK'!$A$38:$F$82,5, FALSE),0)</f>
        <v>0</v>
      </c>
      <c r="O24" s="61">
        <f>IFERROR(VLOOKUP(O6,'M1 - TK'!$A$38:$F$82,5, FALSE),0)</f>
        <v>0</v>
      </c>
      <c r="P24" s="61">
        <f>IFERROR(VLOOKUP(P6,'M1 - TK'!$A$38:$F$82,5, FALSE),0)</f>
        <v>0</v>
      </c>
      <c r="Q24" s="61">
        <f>IFERROR(VLOOKUP(Q6,'M1 - TK'!$A$38:$F$82,5, FALSE),0)</f>
        <v>0</v>
      </c>
      <c r="R24" s="61">
        <f>IFERROR(VLOOKUP(R6,'M1 - TK'!$A$38:$F$82,5, FALSE),0)</f>
        <v>0</v>
      </c>
      <c r="S24" s="61">
        <f>IFERROR(VLOOKUP(S6,'M1 - TK'!$A$38:$F$82,5, FALSE),0)</f>
        <v>0</v>
      </c>
      <c r="T24" s="61">
        <f>IFERROR(VLOOKUP(T6,'M1 - TK'!$A$38:$F$82,5, FALSE),0)</f>
        <v>0</v>
      </c>
      <c r="U24" s="61">
        <f>IFERROR(VLOOKUP(U6,'M1 - TK'!$A$38:$F$82,5, FALSE),0)</f>
        <v>0</v>
      </c>
      <c r="V24" s="61">
        <f>IFERROR(VLOOKUP(V6,'M1 - TK'!$A$38:$F$82,5, FALSE),0)</f>
        <v>0</v>
      </c>
      <c r="W24" s="61">
        <f>IFERROR(VLOOKUP(W6,'M1 - TK'!$A$38:$F$82,5, FALSE),0)</f>
        <v>0</v>
      </c>
      <c r="X24" s="61">
        <f>IFERROR(VLOOKUP(X6,'M1 - TK'!$A$38:$F$82,5, FALSE),0)</f>
        <v>0</v>
      </c>
      <c r="Y24" s="61"/>
      <c r="Z24" s="61"/>
      <c r="AA24" s="61"/>
      <c r="AB24" s="61"/>
      <c r="AC24" s="61"/>
      <c r="AD24" s="61"/>
      <c r="AE24" s="61"/>
      <c r="AF24" s="61"/>
      <c r="AG24" s="61"/>
      <c r="AH24" s="61"/>
      <c r="AI24" s="61"/>
      <c r="AJ24" s="61"/>
      <c r="AK24" s="61"/>
      <c r="AL24" s="61"/>
      <c r="AM24" s="61"/>
      <c r="AN24" s="61"/>
      <c r="AO24" s="61"/>
      <c r="AP24" s="61"/>
      <c r="AQ24" s="61"/>
      <c r="AR24" s="61"/>
      <c r="AS24" s="42">
        <f t="shared" si="13"/>
        <v>0.23</v>
      </c>
      <c r="AY24" s="20">
        <f>Taimekasvatus!E61</f>
        <v>0</v>
      </c>
      <c r="AZ24" s="20">
        <f>Taimekasvatus!F61</f>
        <v>0</v>
      </c>
      <c r="BA24" s="20">
        <f>Taimekasvatus!G61</f>
        <v>0</v>
      </c>
      <c r="BB24" t="str">
        <f>IFERROR(VLOOKUP(AY24,'EFid TK'!$A$38:$B$104,2,FALSE),"")</f>
        <v/>
      </c>
      <c r="BC24" t="str">
        <f>IFERROR(VLOOKUP(AY24,'EFid TK'!$A$38:$C$104,3,FALSE),"")</f>
        <v/>
      </c>
      <c r="BD24" s="21">
        <f t="shared" si="51"/>
        <v>0</v>
      </c>
      <c r="BE24">
        <f t="shared" si="50"/>
        <v>0</v>
      </c>
      <c r="BH24" s="20">
        <f>Loomakasvatus!B245</f>
        <v>0</v>
      </c>
      <c r="BI24">
        <f>Loomakasvatus!C245</f>
        <v>0</v>
      </c>
      <c r="BJ24">
        <f>Loomakasvatus!D245/1000</f>
        <v>0</v>
      </c>
      <c r="BK24" t="str">
        <f>IFERROR(INDEX('M1 - LK'!$A$301:$AC$369,MATCH(Loomakasvatus!C245,'M1 - LK'!$A$301:$A$369,0),MATCH(Loomakasvatus!B245,'M1 - LK'!$A$301:$AC$301,0)),"0")</f>
        <v>0</v>
      </c>
      <c r="BL24">
        <f>IFERROR(BK24*BJ24,0)</f>
        <v>0</v>
      </c>
      <c r="BM24" s="21"/>
      <c r="BP24" s="20">
        <f>Loomakasvatus!B145</f>
        <v>0</v>
      </c>
      <c r="BQ24">
        <f>Loomakasvatus!C145</f>
        <v>0</v>
      </c>
      <c r="BR24">
        <f>Loomakasvatus!D145/1000</f>
        <v>0</v>
      </c>
      <c r="BS24" t="e">
        <f>(INDEX('M1 - LK'!$A$301:$AC$369,MATCH(Loomakasvatus!C145,'M1 - LK'!$A$301:$A$369,0),MATCH(Loomakasvatus!B145,'M1 - LK'!$A$301:$AC$301,0)))</f>
        <v>#N/A</v>
      </c>
      <c r="BT24">
        <f t="shared" ref="BT24:BT27" si="53">IFERROR(BS24*BR24,0)</f>
        <v>0</v>
      </c>
      <c r="BU24" s="21"/>
      <c r="BW24" s="20">
        <f>Loomakasvatus!B428</f>
        <v>0</v>
      </c>
      <c r="BX24">
        <f>Loomakasvatus!C428</f>
        <v>0</v>
      </c>
      <c r="BY24">
        <f>Loomakasvatus!D428/1000</f>
        <v>0</v>
      </c>
      <c r="BZ24" t="e">
        <f>INDEX('M1 - LK'!$A$301:$AC$369,MATCH(Loomakasvatus!C428,'M1 - LK'!$A$301:$A$369,0),MATCH(Loomakasvatus!B428,'M1 - LK'!$A$301:$AC$301,0))</f>
        <v>#N/A</v>
      </c>
      <c r="CA24">
        <f t="shared" si="46"/>
        <v>0</v>
      </c>
      <c r="CB24" s="21"/>
      <c r="CD24" s="20">
        <f>Loomakasvatus!B604</f>
        <v>0</v>
      </c>
      <c r="CE24">
        <f>Loomakasvatus!C604</f>
        <v>0</v>
      </c>
      <c r="CF24">
        <f>Loomakasvatus!D604/1000</f>
        <v>0</v>
      </c>
      <c r="CG24" t="e">
        <f>INDEX('M1 - LK'!$A$301:$AC$369,MATCH(CE24,'M1 - LK'!$A$301:$A$369,0),MATCH(CD24,'M1 - LK'!$A$301:$AC$301,0))</f>
        <v>#N/A</v>
      </c>
      <c r="CH24">
        <f t="shared" si="45"/>
        <v>0</v>
      </c>
      <c r="CI24" s="21"/>
      <c r="CK24" s="20"/>
      <c r="CO24" s="21"/>
      <c r="DJ24" t="str">
        <f>Tugitegevused!B18</f>
        <v>Kaugküte - põlevkivi</v>
      </c>
      <c r="DK24">
        <f>Tugitegevused!C18</f>
        <v>0</v>
      </c>
      <c r="DL24">
        <f>IFERROR(VLOOKUP(Ettev_kalk!DJ24,EFid!$A$35:$B$46,2,FALSE),"0")</f>
        <v>0.45551028595617582</v>
      </c>
      <c r="DM24">
        <f t="shared" si="52"/>
        <v>0</v>
      </c>
      <c r="DP24">
        <f>(DK26/(1-EFid!$B$98/100)-DK26)*DL26</f>
        <v>0</v>
      </c>
      <c r="DQ24">
        <f t="shared" si="48"/>
        <v>0</v>
      </c>
      <c r="DR24">
        <f t="shared" si="49"/>
        <v>0</v>
      </c>
      <c r="DW24" t="s">
        <v>568</v>
      </c>
      <c r="DX24">
        <v>0</v>
      </c>
    </row>
    <row r="25" spans="1:128" ht="15" thickBot="1">
      <c r="B25" s="58" t="s">
        <v>569</v>
      </c>
      <c r="C25" s="36" t="s">
        <v>570</v>
      </c>
      <c r="D25" s="36"/>
      <c r="E25" s="406">
        <f>IFERROR(VLOOKUP(E6,'M1 - TK'!$A$38:$F$82,6, FALSE),0)</f>
        <v>8.9999999999999993E-3</v>
      </c>
      <c r="F25" s="406">
        <f>IFERROR(VLOOKUP(F6,'M1 - TK'!$A$38:$F$82,6, FALSE),0)</f>
        <v>0</v>
      </c>
      <c r="G25" s="406">
        <f>IFERROR(VLOOKUP(G6,'M1 - TK'!$A$38:$F$82,6, FALSE),0)</f>
        <v>0</v>
      </c>
      <c r="H25" s="406">
        <f>IFERROR(VLOOKUP(H6,'M1 - TK'!$A$38:$F$82,6, FALSE),0)</f>
        <v>0</v>
      </c>
      <c r="I25" s="406">
        <f>IFERROR(VLOOKUP(I6,'M1 - TK'!$A$38:$F$82,6, FALSE),0)</f>
        <v>0</v>
      </c>
      <c r="J25" s="406">
        <f>IFERROR(VLOOKUP(J6,'M1 - TK'!$A$38:$F$82,6, FALSE),0)</f>
        <v>0</v>
      </c>
      <c r="K25" s="406">
        <f>IFERROR(VLOOKUP(K6,'M1 - TK'!$A$38:$F$82,6, FALSE),0)</f>
        <v>0</v>
      </c>
      <c r="L25" s="406">
        <f>IFERROR(VLOOKUP(L6,'M1 - TK'!$A$38:$F$82,6, FALSE),0)</f>
        <v>0</v>
      </c>
      <c r="M25" s="406">
        <f>IFERROR(VLOOKUP(M6,'M1 - TK'!$A$38:$F$82,6, FALSE),0)</f>
        <v>0</v>
      </c>
      <c r="N25" s="406">
        <f>IFERROR(VLOOKUP(N6,'M1 - TK'!$A$38:$F$82,6, FALSE),0)</f>
        <v>0</v>
      </c>
      <c r="O25" s="406">
        <f>IFERROR(VLOOKUP(O6,'M1 - TK'!$A$38:$F$82,6, FALSE),0)</f>
        <v>0</v>
      </c>
      <c r="P25" s="406">
        <f>IFERROR(VLOOKUP(P6,'M1 - TK'!$A$38:$F$82,6, FALSE),0)</f>
        <v>0</v>
      </c>
      <c r="Q25" s="406">
        <f>IFERROR(VLOOKUP(Q6,'M1 - TK'!$A$38:$F$82,6, FALSE),0)</f>
        <v>0</v>
      </c>
      <c r="R25" s="406">
        <f>IFERROR(VLOOKUP(R6,'M1 - TK'!$A$38:$F$82,6, FALSE),0)</f>
        <v>0</v>
      </c>
      <c r="S25" s="406">
        <f>IFERROR(VLOOKUP(S6,'M1 - TK'!$A$38:$F$82,6, FALSE),0)</f>
        <v>0</v>
      </c>
      <c r="T25" s="406">
        <f>IFERROR(VLOOKUP(T6,'M1 - TK'!$A$38:$F$82,6, FALSE),0)</f>
        <v>0</v>
      </c>
      <c r="U25" s="406">
        <f>IFERROR(VLOOKUP(U6,'M1 - TK'!$A$38:$F$82,6, FALSE),0)</f>
        <v>0</v>
      </c>
      <c r="V25" s="406">
        <f>IFERROR(VLOOKUP(V6,'M1 - TK'!$A$38:$F$82,6, FALSE),0)</f>
        <v>0</v>
      </c>
      <c r="W25" s="406">
        <f>IFERROR(VLOOKUP(W6,'M1 - TK'!$A$38:$F$82,6, FALSE),0)</f>
        <v>0</v>
      </c>
      <c r="X25" s="406">
        <f>IFERROR(VLOOKUP(X6,'M1 - TK'!$A$38:$F$82,6, FALSE),0)</f>
        <v>0</v>
      </c>
      <c r="Y25" s="406"/>
      <c r="Z25" s="406"/>
      <c r="AA25" s="406"/>
      <c r="AB25" s="406"/>
      <c r="AC25" s="406"/>
      <c r="AD25" s="406"/>
      <c r="AE25" s="406"/>
      <c r="AF25" s="406"/>
      <c r="AG25" s="406"/>
      <c r="AH25" s="406"/>
      <c r="AI25" s="406"/>
      <c r="AJ25" s="406"/>
      <c r="AK25" s="406"/>
      <c r="AL25" s="406"/>
      <c r="AM25" s="406"/>
      <c r="AN25" s="406"/>
      <c r="AO25" s="406"/>
      <c r="AP25" s="406"/>
      <c r="AQ25" s="406"/>
      <c r="AR25" s="407"/>
      <c r="AS25" s="42">
        <f t="shared" si="13"/>
        <v>8.9999999999999993E-3</v>
      </c>
      <c r="AU25" t="s">
        <v>557</v>
      </c>
      <c r="AY25" s="20">
        <f>Taimekasvatus!E62</f>
        <v>0</v>
      </c>
      <c r="AZ25" s="20">
        <f>Taimekasvatus!F62</f>
        <v>0</v>
      </c>
      <c r="BA25" s="20">
        <f>Taimekasvatus!G62</f>
        <v>0</v>
      </c>
      <c r="BB25" t="str">
        <f>IFERROR(VLOOKUP(AY25,'EFid TK'!$A$38:$B$104,2,FALSE),"")</f>
        <v/>
      </c>
      <c r="BC25" t="str">
        <f>IFERROR(VLOOKUP(AY25,'EFid TK'!$A$38:$C$104,3,FALSE),"")</f>
        <v/>
      </c>
      <c r="BD25" s="21">
        <f t="shared" si="51"/>
        <v>0</v>
      </c>
      <c r="BE25">
        <f t="shared" si="50"/>
        <v>0</v>
      </c>
      <c r="BH25" s="20">
        <f>Loomakasvatus!B246</f>
        <v>0</v>
      </c>
      <c r="BI25">
        <f>Loomakasvatus!C246</f>
        <v>0</v>
      </c>
      <c r="BJ25">
        <f>Loomakasvatus!D246/1000</f>
        <v>0</v>
      </c>
      <c r="BK25" t="str">
        <f>IFERROR(INDEX('M1 - LK'!$A$301:$AC$369,MATCH(Loomakasvatus!C246,'M1 - LK'!$A$301:$A$369,0),MATCH(Loomakasvatus!B246,'M1 - LK'!$A$301:$AC$301,0)),"0")</f>
        <v>0</v>
      </c>
      <c r="BL25">
        <f>IFERROR(BK25*BJ25,0)</f>
        <v>0</v>
      </c>
      <c r="BM25" s="21"/>
      <c r="BP25" s="20">
        <f>Loomakasvatus!B146</f>
        <v>0</v>
      </c>
      <c r="BQ25">
        <f>Loomakasvatus!C146</f>
        <v>0</v>
      </c>
      <c r="BR25">
        <f>Loomakasvatus!D146/1000</f>
        <v>0</v>
      </c>
      <c r="BS25" t="e">
        <f>(INDEX('M1 - LK'!$A$301:$AC$369,MATCH(Loomakasvatus!C146,'M1 - LK'!$A$301:$A$369,0),MATCH(Loomakasvatus!B146,'M1 - LK'!$A$301:$AC$301,0)))</f>
        <v>#N/A</v>
      </c>
      <c r="BT25">
        <f t="shared" si="53"/>
        <v>0</v>
      </c>
      <c r="BU25" s="21"/>
      <c r="BW25" s="20">
        <f>Loomakasvatus!B429</f>
        <v>0</v>
      </c>
      <c r="BX25">
        <f>Loomakasvatus!C429</f>
        <v>0</v>
      </c>
      <c r="BY25">
        <f>Loomakasvatus!D429/1000</f>
        <v>0</v>
      </c>
      <c r="BZ25" t="e">
        <f>INDEX('M1 - LK'!$A$301:$AC$369,MATCH(Loomakasvatus!C429,'M1 - LK'!$A$301:$A$369,0),MATCH(Loomakasvatus!B429,'M1 - LK'!$A$301:$AC$301,0))</f>
        <v>#N/A</v>
      </c>
      <c r="CA25">
        <f t="shared" si="46"/>
        <v>0</v>
      </c>
      <c r="CB25" s="21"/>
      <c r="CD25" s="15">
        <f>Loomakasvatus!B608</f>
        <v>0</v>
      </c>
      <c r="CE25" s="16" t="str">
        <f>Loomakasvatus!C608</f>
        <v>Isekasvatatud taimne sööt</v>
      </c>
      <c r="CF25" s="16" t="str">
        <f>Loomakasvatus!D608</f>
        <v>Kogus (kg)</v>
      </c>
      <c r="CG25" s="16"/>
      <c r="CH25" s="16"/>
      <c r="CI25" s="17"/>
      <c r="CK25" s="80" t="s">
        <v>180</v>
      </c>
      <c r="CO25" s="21"/>
      <c r="DJ25">
        <f>Tugitegevused!B19</f>
        <v>0</v>
      </c>
      <c r="DK25">
        <f>Tugitegevused!C19</f>
        <v>0</v>
      </c>
      <c r="DL25" t="str">
        <f>IFERROR(VLOOKUP(Ettev_kalk!DJ25,EFid!$A$35:$B$46,2,FALSE),"0")</f>
        <v>0</v>
      </c>
      <c r="DM25">
        <f t="shared" si="52"/>
        <v>0</v>
      </c>
      <c r="DP25">
        <f>(DK27/(1-EFid!$B$98/100)-DK27)*DL27</f>
        <v>0</v>
      </c>
      <c r="DQ25">
        <f t="shared" si="48"/>
        <v>0</v>
      </c>
      <c r="DR25">
        <f t="shared" si="49"/>
        <v>0</v>
      </c>
      <c r="DW25" t="s">
        <v>571</v>
      </c>
      <c r="DX25">
        <v>0</v>
      </c>
    </row>
    <row r="26" spans="1:128" ht="15" thickBot="1">
      <c r="A26" s="162" t="s">
        <v>572</v>
      </c>
      <c r="B26" s="90" t="s">
        <v>573</v>
      </c>
      <c r="C26" s="82"/>
      <c r="D26" s="82"/>
      <c r="E26" s="404"/>
      <c r="F26" s="404"/>
      <c r="G26" s="404"/>
      <c r="H26" s="404"/>
      <c r="I26" s="404"/>
      <c r="J26" s="404"/>
      <c r="K26" s="404"/>
      <c r="L26" s="404"/>
      <c r="M26" s="404"/>
      <c r="N26" s="404"/>
      <c r="O26" s="404"/>
      <c r="P26" s="404"/>
      <c r="Q26" s="404"/>
      <c r="R26" s="404"/>
      <c r="S26" s="404"/>
      <c r="T26" s="404"/>
      <c r="U26" s="404"/>
      <c r="V26" s="404"/>
      <c r="W26" s="404"/>
      <c r="X26" s="404"/>
      <c r="Y26" s="404">
        <f t="shared" ref="Y26:AO26" si="54">IFERROR((Y30*Y27*Y31*(1-Y32)+(Y27*Y33*Y34)),0)</f>
        <v>0</v>
      </c>
      <c r="Z26" s="404">
        <f t="shared" si="54"/>
        <v>0</v>
      </c>
      <c r="AA26" s="404">
        <f t="shared" si="54"/>
        <v>0</v>
      </c>
      <c r="AB26" s="404">
        <f t="shared" si="54"/>
        <v>0</v>
      </c>
      <c r="AC26" s="404">
        <f t="shared" si="54"/>
        <v>0</v>
      </c>
      <c r="AD26" s="404">
        <f t="shared" si="54"/>
        <v>0</v>
      </c>
      <c r="AE26" s="404">
        <f t="shared" si="54"/>
        <v>0</v>
      </c>
      <c r="AF26" s="404">
        <f t="shared" si="54"/>
        <v>0</v>
      </c>
      <c r="AG26" s="404">
        <f t="shared" si="54"/>
        <v>0</v>
      </c>
      <c r="AH26" s="404">
        <f t="shared" si="54"/>
        <v>0</v>
      </c>
      <c r="AI26" s="404">
        <f t="shared" si="54"/>
        <v>0</v>
      </c>
      <c r="AJ26" s="404">
        <f t="shared" si="54"/>
        <v>0</v>
      </c>
      <c r="AK26" s="404">
        <f t="shared" si="54"/>
        <v>0</v>
      </c>
      <c r="AL26" s="404">
        <f t="shared" si="54"/>
        <v>0</v>
      </c>
      <c r="AM26" s="404">
        <f t="shared" si="54"/>
        <v>0</v>
      </c>
      <c r="AN26" s="404">
        <f t="shared" si="54"/>
        <v>0</v>
      </c>
      <c r="AO26" s="404">
        <f t="shared" si="54"/>
        <v>0</v>
      </c>
      <c r="AP26" s="404"/>
      <c r="AQ26" s="404"/>
      <c r="AR26" s="130"/>
      <c r="AS26" s="42">
        <f t="shared" si="13"/>
        <v>0</v>
      </c>
      <c r="AT26" s="162" t="s">
        <v>572</v>
      </c>
      <c r="AU26" s="1" t="s">
        <v>73</v>
      </c>
      <c r="AY26" s="20">
        <f>Taimekasvatus!E63</f>
        <v>0</v>
      </c>
      <c r="AZ26" s="20">
        <f>Taimekasvatus!F63</f>
        <v>0</v>
      </c>
      <c r="BA26" s="20">
        <f>Taimekasvatus!G63</f>
        <v>0</v>
      </c>
      <c r="BB26" t="str">
        <f>IFERROR(VLOOKUP(AY26,'EFid TK'!$A$38:$B$104,2,FALSE),"")</f>
        <v/>
      </c>
      <c r="BC26" t="str">
        <f>IFERROR(VLOOKUP(AY26,'EFid TK'!$A$38:$C$104,3,FALSE),"")</f>
        <v/>
      </c>
      <c r="BD26" s="21">
        <f t="shared" si="51"/>
        <v>0</v>
      </c>
      <c r="BE26">
        <f t="shared" si="50"/>
        <v>0</v>
      </c>
      <c r="BH26" s="15">
        <f>Loomakasvatus!B247</f>
        <v>0</v>
      </c>
      <c r="BI26" s="16" t="str">
        <f>Loomakasvatus!C247</f>
        <v>Isekasvatatud taimne sööt</v>
      </c>
      <c r="BJ26" s="16" t="str">
        <f>Loomakasvatus!D247</f>
        <v>Kogus (kg)</v>
      </c>
      <c r="BK26" s="16"/>
      <c r="BL26" s="16"/>
      <c r="BM26" s="17"/>
      <c r="BP26" s="20">
        <f>Loomakasvatus!B147</f>
        <v>0</v>
      </c>
      <c r="BQ26">
        <f>Loomakasvatus!C147</f>
        <v>0</v>
      </c>
      <c r="BR26">
        <f>Loomakasvatus!D147/1000</f>
        <v>0</v>
      </c>
      <c r="BS26" t="e">
        <f>(INDEX('M1 - LK'!$A$301:$AC$369,MATCH(Loomakasvatus!C147,'M1 - LK'!$A$301:$A$369,0),MATCH(Loomakasvatus!B147,'M1 - LK'!$A$301:$AC$301,0)))</f>
        <v>#N/A</v>
      </c>
      <c r="BT26">
        <f t="shared" si="53"/>
        <v>0</v>
      </c>
      <c r="BU26" s="21"/>
      <c r="BW26" s="20">
        <f>Loomakasvatus!B430</f>
        <v>0</v>
      </c>
      <c r="BX26">
        <f>Loomakasvatus!C430</f>
        <v>0</v>
      </c>
      <c r="BY26">
        <f>Loomakasvatus!D430/1000</f>
        <v>0</v>
      </c>
      <c r="BZ26" t="e">
        <f>INDEX('M1 - LK'!$A$301:$AC$369,MATCH(Loomakasvatus!C430,'M1 - LK'!$A$301:$A$369,0),MATCH(Loomakasvatus!B430,'M1 - LK'!$A$301:$AC$301,0))</f>
        <v>#N/A</v>
      </c>
      <c r="CA26">
        <f t="shared" si="46"/>
        <v>0</v>
      </c>
      <c r="CB26" s="21"/>
      <c r="CD26" s="20">
        <f>Loomakasvatus!C609</f>
        <v>0</v>
      </c>
      <c r="CE26" t="e">
        <f>Loomakasvatus!#REF!</f>
        <v>#REF!</v>
      </c>
      <c r="CF26">
        <f>Loomakasvatus!D609</f>
        <v>0</v>
      </c>
      <c r="CH26">
        <f t="shared" si="12"/>
        <v>0</v>
      </c>
      <c r="CI26" s="21"/>
      <c r="CK26" s="20" t="str" cm="1">
        <f t="array" ref="CK26:CM30">Loomakasvatus!C174:E178</f>
        <v>Sööt, mille heitetegur on teada</v>
      </c>
      <c r="CL26" t="str">
        <v>Kogus (kg)</v>
      </c>
      <c r="CM26" t="str">
        <v>Heitetegur (kg CO2-ekv/kg)</v>
      </c>
      <c r="CN26" t="s">
        <v>517</v>
      </c>
      <c r="CO26" s="445">
        <f>SUM(CN27:CN30)</f>
        <v>0</v>
      </c>
      <c r="DJ26">
        <f>Tugitegevused!B20</f>
        <v>0</v>
      </c>
      <c r="DK26">
        <f>Tugitegevused!C20</f>
        <v>0</v>
      </c>
      <c r="DL26" t="str">
        <f>IFERROR(VLOOKUP(Ettev_kalk!DJ26,EFid!$A$35:$B$46,2,FALSE),"0")</f>
        <v>0</v>
      </c>
      <c r="DM26">
        <f t="shared" si="52"/>
        <v>0</v>
      </c>
      <c r="DW26" t="s">
        <v>373</v>
      </c>
      <c r="DX26">
        <v>0</v>
      </c>
    </row>
    <row r="27" spans="1:128">
      <c r="A27" s="162"/>
      <c r="B27" t="s">
        <v>542</v>
      </c>
      <c r="C27" t="s">
        <v>574</v>
      </c>
      <c r="D27" s="1"/>
      <c r="E27" s="61"/>
      <c r="F27" s="61"/>
      <c r="G27" s="61"/>
      <c r="H27" s="61"/>
      <c r="I27" s="61"/>
      <c r="J27" s="61"/>
      <c r="K27" s="61"/>
      <c r="L27" s="61"/>
      <c r="M27" s="61"/>
      <c r="N27" s="61"/>
      <c r="O27" s="61"/>
      <c r="P27" s="61"/>
      <c r="Q27" s="61"/>
      <c r="R27" s="61"/>
      <c r="S27" s="61"/>
      <c r="T27" s="61"/>
      <c r="U27" s="61"/>
      <c r="V27" s="61"/>
      <c r="W27" s="61"/>
      <c r="X27" s="61"/>
      <c r="Y27" s="61">
        <f t="shared" ref="Y27:AO27" si="55">IFERROR(Y28*Y29,0)</f>
        <v>0</v>
      </c>
      <c r="Z27" s="61">
        <f t="shared" si="55"/>
        <v>0</v>
      </c>
      <c r="AA27" s="61">
        <f t="shared" si="55"/>
        <v>0</v>
      </c>
      <c r="AB27" s="61">
        <f t="shared" si="55"/>
        <v>0</v>
      </c>
      <c r="AC27" s="61">
        <f t="shared" si="55"/>
        <v>0</v>
      </c>
      <c r="AD27" s="61">
        <f t="shared" si="55"/>
        <v>0</v>
      </c>
      <c r="AE27" s="61">
        <f t="shared" si="55"/>
        <v>0</v>
      </c>
      <c r="AF27" s="61">
        <f t="shared" si="55"/>
        <v>0</v>
      </c>
      <c r="AG27" s="61">
        <f t="shared" si="55"/>
        <v>0</v>
      </c>
      <c r="AH27" s="61">
        <f t="shared" si="55"/>
        <v>0</v>
      </c>
      <c r="AI27" s="61">
        <f t="shared" si="55"/>
        <v>0</v>
      </c>
      <c r="AJ27" s="61">
        <f t="shared" si="55"/>
        <v>0</v>
      </c>
      <c r="AK27" s="61">
        <f t="shared" si="55"/>
        <v>0</v>
      </c>
      <c r="AL27" s="61">
        <f t="shared" si="55"/>
        <v>0</v>
      </c>
      <c r="AM27" s="61">
        <f t="shared" si="55"/>
        <v>0</v>
      </c>
      <c r="AN27" s="61">
        <f t="shared" si="55"/>
        <v>0</v>
      </c>
      <c r="AO27" s="61">
        <f t="shared" si="55"/>
        <v>0</v>
      </c>
      <c r="AP27" s="61"/>
      <c r="AQ27" s="61"/>
      <c r="AR27" s="186"/>
      <c r="AS27" s="42">
        <f t="shared" si="13"/>
        <v>0</v>
      </c>
      <c r="AT27" s="162"/>
      <c r="AU27" s="1"/>
      <c r="AY27" s="20">
        <f>Taimekasvatus!E64</f>
        <v>0</v>
      </c>
      <c r="AZ27" s="20">
        <f>Taimekasvatus!F64</f>
        <v>0</v>
      </c>
      <c r="BA27" s="20">
        <f>Taimekasvatus!G64</f>
        <v>0</v>
      </c>
      <c r="BB27" t="str">
        <f>IFERROR(VLOOKUP(AY27,'EFid TK'!$A$38:$B$104,2,FALSE),"")</f>
        <v/>
      </c>
      <c r="BC27" t="str">
        <f>IFERROR(VLOOKUP(AY27,'EFid TK'!$A$38:$C$104,3,FALSE),"")</f>
        <v/>
      </c>
      <c r="BD27" s="21">
        <f t="shared" si="51"/>
        <v>0</v>
      </c>
      <c r="BE27">
        <f t="shared" si="50"/>
        <v>0</v>
      </c>
      <c r="BH27" s="20">
        <f>Loomakasvatus!C248</f>
        <v>0</v>
      </c>
      <c r="BJ27">
        <f>Loomakasvatus!D248/1000</f>
        <v>0</v>
      </c>
      <c r="BL27">
        <f t="shared" si="9"/>
        <v>0</v>
      </c>
      <c r="BM27" s="21"/>
      <c r="BP27" s="20">
        <f>Loomakasvatus!B148</f>
        <v>0</v>
      </c>
      <c r="BQ27">
        <f>Loomakasvatus!C148</f>
        <v>0</v>
      </c>
      <c r="BR27">
        <f>Loomakasvatus!D148/1000</f>
        <v>0</v>
      </c>
      <c r="BS27" t="e">
        <f>(INDEX('M1 - LK'!$A$301:$AC$369,MATCH(Loomakasvatus!C148,'M1 - LK'!$A$301:$A$369,0),MATCH(Loomakasvatus!B148,'M1 - LK'!$A$301:$AC$301,0)))</f>
        <v>#N/A</v>
      </c>
      <c r="BT27">
        <f t="shared" si="53"/>
        <v>0</v>
      </c>
      <c r="BU27" s="21"/>
      <c r="BW27" s="15">
        <f>Loomakasvatus!B431</f>
        <v>0</v>
      </c>
      <c r="BX27" s="16" t="str">
        <f>Loomakasvatus!C431</f>
        <v>Isekasvatatud taimne sööt</v>
      </c>
      <c r="BY27" s="16" t="str">
        <f>Loomakasvatus!D431</f>
        <v>Kogus (kg)</v>
      </c>
      <c r="BZ27" s="16"/>
      <c r="CA27" s="16"/>
      <c r="CB27" s="17"/>
      <c r="CD27" s="20">
        <f>Loomakasvatus!C610</f>
        <v>0</v>
      </c>
      <c r="CE27" t="e">
        <f>Loomakasvatus!#REF!</f>
        <v>#REF!</v>
      </c>
      <c r="CF27">
        <f>Loomakasvatus!D610</f>
        <v>0</v>
      </c>
      <c r="CH27">
        <f t="shared" si="12"/>
        <v>0</v>
      </c>
      <c r="CI27" s="21"/>
      <c r="CK27" s="20">
        <v>0</v>
      </c>
      <c r="CL27">
        <v>0</v>
      </c>
      <c r="CM27">
        <v>0</v>
      </c>
      <c r="CN27">
        <f>CL27*CM27</f>
        <v>0</v>
      </c>
      <c r="CO27" s="21"/>
      <c r="DJ27">
        <f>Tugitegevused!B21</f>
        <v>0</v>
      </c>
      <c r="DK27">
        <f>Tugitegevused!C21</f>
        <v>0</v>
      </c>
      <c r="DL27" t="str">
        <f>IFERROR(VLOOKUP(Ettev_kalk!DJ27,EFid!$A$35:$B$46,2,FALSE),"0")</f>
        <v>0</v>
      </c>
      <c r="DM27">
        <f t="shared" si="52"/>
        <v>0</v>
      </c>
      <c r="DQ27" s="1" t="s">
        <v>453</v>
      </c>
      <c r="DR27" s="1" t="s">
        <v>108</v>
      </c>
      <c r="DS27" s="1" t="s">
        <v>516</v>
      </c>
      <c r="DT27" s="1" t="s">
        <v>524</v>
      </c>
      <c r="DW27" t="s">
        <v>575</v>
      </c>
      <c r="DX27">
        <v>0</v>
      </c>
    </row>
    <row r="28" spans="1:128" ht="15" thickBot="1">
      <c r="A28" s="60"/>
      <c r="B28" s="20" t="s">
        <v>546</v>
      </c>
      <c r="C28" t="s">
        <v>576</v>
      </c>
      <c r="D28" s="1"/>
      <c r="E28" s="62"/>
      <c r="F28" s="62"/>
      <c r="G28" s="62"/>
      <c r="H28" s="62"/>
      <c r="I28" s="62"/>
      <c r="J28" s="62"/>
      <c r="K28" s="62"/>
      <c r="L28" s="62"/>
      <c r="M28" s="62"/>
      <c r="N28" s="62"/>
      <c r="O28" s="62"/>
      <c r="P28" s="62"/>
      <c r="Q28" s="62"/>
      <c r="R28" s="62"/>
      <c r="S28" s="62"/>
      <c r="T28" s="62"/>
      <c r="U28" s="62"/>
      <c r="V28" s="62"/>
      <c r="W28" s="62"/>
      <c r="X28" s="62"/>
      <c r="Y28" s="62">
        <f>Taimekasvatus!AA20*1000</f>
        <v>0</v>
      </c>
      <c r="Z28" s="62">
        <f>Taimekasvatus!AB20*1000</f>
        <v>0</v>
      </c>
      <c r="AA28" s="62">
        <f>Taimekasvatus!AC20*1000</f>
        <v>0</v>
      </c>
      <c r="AB28" s="62">
        <f>Taimekasvatus!AD20*1000</f>
        <v>0</v>
      </c>
      <c r="AC28" s="62">
        <f>Taimekasvatus!AE20*1000</f>
        <v>0</v>
      </c>
      <c r="AD28" s="62">
        <f>Taimekasvatus!AF20*1000</f>
        <v>0</v>
      </c>
      <c r="AE28" s="62">
        <f>Taimekasvatus!AG20*1000</f>
        <v>0</v>
      </c>
      <c r="AF28" s="62">
        <f>Taimekasvatus!AH20*1000</f>
        <v>0</v>
      </c>
      <c r="AG28" s="62">
        <f>Taimekasvatus!AI20*1000</f>
        <v>0</v>
      </c>
      <c r="AH28" s="62">
        <f>Taimekasvatus!AJ20*1000</f>
        <v>0</v>
      </c>
      <c r="AI28" s="62">
        <f>Taimekasvatus!AK20*1000</f>
        <v>0</v>
      </c>
      <c r="AJ28" s="62">
        <f>Taimekasvatus!AL20*1000</f>
        <v>0</v>
      </c>
      <c r="AK28" s="62">
        <f>Taimekasvatus!AM20*1000</f>
        <v>0</v>
      </c>
      <c r="AL28" s="62">
        <f>Taimekasvatus!AN20*1000</f>
        <v>0</v>
      </c>
      <c r="AM28" s="62">
        <f>Taimekasvatus!AO20*1000</f>
        <v>0</v>
      </c>
      <c r="AN28" s="62">
        <f>Taimekasvatus!AP20*1000</f>
        <v>0</v>
      </c>
      <c r="AO28" s="62">
        <f>Taimekasvatus!AQ20*1000</f>
        <v>0</v>
      </c>
      <c r="AP28" s="62"/>
      <c r="AQ28" s="62"/>
      <c r="AR28" s="131"/>
      <c r="AS28" s="42">
        <f t="shared" si="13"/>
        <v>0</v>
      </c>
      <c r="AT28" s="60"/>
      <c r="AU28" t="s">
        <v>38</v>
      </c>
      <c r="AY28" s="20">
        <f>Taimekasvatus!E65</f>
        <v>0</v>
      </c>
      <c r="AZ28" s="20">
        <f>Taimekasvatus!F65</f>
        <v>0</v>
      </c>
      <c r="BA28" s="20">
        <f>Taimekasvatus!G65</f>
        <v>0</v>
      </c>
      <c r="BB28" t="str">
        <f>IFERROR(VLOOKUP(AY28,'EFid TK'!$A$38:$B$104,2,FALSE),"")</f>
        <v/>
      </c>
      <c r="BC28" t="str">
        <f>IFERROR(VLOOKUP(AY28,'EFid TK'!$A$38:$C$104,3,FALSE),"")</f>
        <v/>
      </c>
      <c r="BD28" s="21">
        <f t="shared" si="51"/>
        <v>0</v>
      </c>
      <c r="BE28">
        <f t="shared" si="50"/>
        <v>0</v>
      </c>
      <c r="BH28" s="20">
        <f>Loomakasvatus!C249</f>
        <v>0</v>
      </c>
      <c r="BJ28">
        <f>Loomakasvatus!D249/1000</f>
        <v>0</v>
      </c>
      <c r="BL28">
        <f t="shared" si="9"/>
        <v>0</v>
      </c>
      <c r="BM28" s="21"/>
      <c r="BP28" s="20"/>
      <c r="BU28" s="21"/>
      <c r="BW28" s="20">
        <f>Loomakasvatus!C432</f>
        <v>0</v>
      </c>
      <c r="BX28" t="e">
        <f>Loomakasvatus!#REF!</f>
        <v>#REF!</v>
      </c>
      <c r="BY28">
        <f>Loomakasvatus!D432</f>
        <v>0</v>
      </c>
      <c r="CA28">
        <f t="shared" si="11"/>
        <v>0</v>
      </c>
      <c r="CB28" s="21"/>
      <c r="CD28" s="20">
        <f>Loomakasvatus!C611</f>
        <v>0</v>
      </c>
      <c r="CE28" t="e">
        <f>Loomakasvatus!#REF!</f>
        <v>#REF!</v>
      </c>
      <c r="CF28">
        <f>Loomakasvatus!D611</f>
        <v>0</v>
      </c>
      <c r="CH28">
        <f t="shared" si="12"/>
        <v>0</v>
      </c>
      <c r="CI28" s="21"/>
      <c r="CK28" s="20">
        <v>0</v>
      </c>
      <c r="CL28">
        <v>0</v>
      </c>
      <c r="CM28">
        <v>0</v>
      </c>
      <c r="CN28">
        <f t="shared" ref="CN28:CN30" si="56">CL28*CM28</f>
        <v>0</v>
      </c>
      <c r="CO28" s="21"/>
      <c r="DQ28" t="str">
        <f>Tugitegevused!B33</f>
        <v>Segaolmejäätmed, lõppkäitlusviis pole teada</v>
      </c>
      <c r="DR28">
        <f>Tugitegevused!C33</f>
        <v>0</v>
      </c>
      <c r="DS28">
        <f>IFERROR(VLOOKUP(DQ28,EFid!$A$243:$B$250,2,FALSE),"0")</f>
        <v>620</v>
      </c>
      <c r="DT28">
        <f>DR28*DS28</f>
        <v>0</v>
      </c>
      <c r="DU28">
        <f>SUM(DT28:DT35)</f>
        <v>0</v>
      </c>
      <c r="DW28" t="s">
        <v>577</v>
      </c>
      <c r="DX28">
        <v>0</v>
      </c>
    </row>
    <row r="29" spans="1:128">
      <c r="A29" s="60"/>
      <c r="B29" s="20" t="s">
        <v>549</v>
      </c>
      <c r="C29" t="s">
        <v>550</v>
      </c>
      <c r="D29" s="1"/>
      <c r="E29" s="179"/>
      <c r="F29" s="179"/>
      <c r="G29" s="179"/>
      <c r="H29" s="179"/>
      <c r="I29" s="179"/>
      <c r="J29" s="179"/>
      <c r="K29" s="179"/>
      <c r="L29" s="179"/>
      <c r="M29" s="179"/>
      <c r="N29" s="179"/>
      <c r="O29" s="179"/>
      <c r="P29" s="179"/>
      <c r="Q29" s="179"/>
      <c r="R29" s="179"/>
      <c r="S29" s="179"/>
      <c r="T29" s="179"/>
      <c r="U29" s="179"/>
      <c r="V29" s="179"/>
      <c r="W29" s="179"/>
      <c r="X29" s="179"/>
      <c r="Y29" s="179">
        <f>IFERROR(IF(ISNUMBER(Taimekasvatus!AA21), Taimekasvatus!AA21, VLOOKUP(Y6,'M1 - TK'!$A$38:$F$82,2, FALSE)),0)</f>
        <v>0</v>
      </c>
      <c r="Z29" s="179">
        <f>IFERROR(IF(ISNUMBER(Taimekasvatus!AB21), Taimekasvatus!AB21, VLOOKUP(Z6,'M1 - TK'!$A$38:$F$82,2, FALSE)),0)</f>
        <v>0</v>
      </c>
      <c r="AA29" s="179">
        <f>IFERROR(IF(ISNUMBER(Taimekasvatus!AC21), Taimekasvatus!AC21, VLOOKUP(AA6,'M1 - TK'!$A$38:$F$82,2, FALSE)),0)</f>
        <v>0</v>
      </c>
      <c r="AB29" s="179">
        <f>IFERROR(IF(ISNUMBER(Taimekasvatus!AD21), Taimekasvatus!AD21, VLOOKUP(AB6,'M1 - TK'!$A$38:$F$82,2, FALSE)),0)</f>
        <v>0</v>
      </c>
      <c r="AC29" s="179">
        <f>IFERROR(IF(ISNUMBER(Taimekasvatus!AE21), Taimekasvatus!AE21, VLOOKUP(AC6,'M1 - TK'!$A$38:$F$82,2, FALSE)),0)</f>
        <v>0</v>
      </c>
      <c r="AD29" s="179">
        <f>IFERROR(IF(ISNUMBER(Taimekasvatus!AF21), Taimekasvatus!AF21, VLOOKUP(AD6,'M1 - TK'!$A$38:$F$82,2, FALSE)),0)</f>
        <v>0</v>
      </c>
      <c r="AE29" s="179">
        <f>IFERROR(IF(ISNUMBER(Taimekasvatus!AG21), Taimekasvatus!AG21, VLOOKUP(AE6,'M1 - TK'!$A$38:$F$82,2, FALSE)),0)</f>
        <v>0</v>
      </c>
      <c r="AF29" s="179">
        <f>IFERROR(IF(ISNUMBER(Taimekasvatus!AH21), Taimekasvatus!AH21, VLOOKUP(AF6,'M1 - TK'!$A$38:$F$82,2, FALSE)),0)</f>
        <v>0</v>
      </c>
      <c r="AG29" s="179">
        <f>IFERROR(IF(ISNUMBER(Taimekasvatus!AI21), Taimekasvatus!AI21, VLOOKUP(AG6,'M1 - TK'!$A$38:$F$82,2, FALSE)),0)</f>
        <v>0</v>
      </c>
      <c r="AH29" s="179">
        <f>IFERROR(IF(ISNUMBER(Taimekasvatus!AJ21), Taimekasvatus!AJ21, VLOOKUP(AH6,'M1 - TK'!$A$38:$F$82,2, FALSE)),0)</f>
        <v>0</v>
      </c>
      <c r="AI29" s="179">
        <f>IFERROR(IF(ISNUMBER(Taimekasvatus!AK21), Taimekasvatus!AK21, VLOOKUP(AI6,'M1 - TK'!$A$38:$F$82,2, FALSE)),0)</f>
        <v>0</v>
      </c>
      <c r="AJ29" s="179">
        <f>IFERROR(IF(ISNUMBER(Taimekasvatus!AL21), Taimekasvatus!AL21, VLOOKUP(AJ6,'M1 - TK'!$A$38:$F$82,2, FALSE)),0)</f>
        <v>0</v>
      </c>
      <c r="AK29" s="179">
        <f>IFERROR(IF(ISNUMBER(Taimekasvatus!AM21), Taimekasvatus!AM21, VLOOKUP(AK6,'M1 - TK'!$A$38:$F$82,2, FALSE)),0)</f>
        <v>0</v>
      </c>
      <c r="AL29" s="179">
        <f>IFERROR(IF(ISNUMBER(Taimekasvatus!AN21), Taimekasvatus!AN21, VLOOKUP(AL6,'M1 - TK'!$A$38:$F$82,2, FALSE)),0)</f>
        <v>0</v>
      </c>
      <c r="AM29" s="179">
        <f>IFERROR(IF(ISNUMBER(Taimekasvatus!AO21), Taimekasvatus!AO21, VLOOKUP(AM6,'M1 - TK'!$A$38:$F$82,2, FALSE)),0)</f>
        <v>0</v>
      </c>
      <c r="AN29" s="179">
        <f>IFERROR(IF(ISNUMBER(Taimekasvatus!AP21), Taimekasvatus!AP21, VLOOKUP(AN6,'M1 - TK'!$A$38:$F$82,2, FALSE)),0)</f>
        <v>0</v>
      </c>
      <c r="AO29" s="179">
        <f>IFERROR(IF(ISNUMBER(Taimekasvatus!AQ21), Taimekasvatus!AQ21, VLOOKUP(AO6,'M1 - TK'!$A$38:$F$82,2, FALSE)),0)</f>
        <v>0</v>
      </c>
      <c r="AP29" s="179"/>
      <c r="AQ29" s="179"/>
      <c r="AR29" s="405"/>
      <c r="AS29" s="42">
        <f t="shared" si="13"/>
        <v>0</v>
      </c>
      <c r="AT29" s="60"/>
      <c r="AV29" s="1"/>
      <c r="AW29" s="1"/>
      <c r="AY29" s="20">
        <f>Taimekasvatus!E66</f>
        <v>0</v>
      </c>
      <c r="AZ29" s="20">
        <f>Taimekasvatus!F66</f>
        <v>0</v>
      </c>
      <c r="BA29" s="20">
        <f>Taimekasvatus!G66</f>
        <v>0</v>
      </c>
      <c r="BB29" t="str">
        <f>IFERROR(VLOOKUP(AY29,'EFid TK'!$A$38:$B$104,2,FALSE),"")</f>
        <v/>
      </c>
      <c r="BC29" t="str">
        <f>IFERROR(VLOOKUP(AY29,'EFid TK'!$A$38:$C$104,3,FALSE),"")</f>
        <v/>
      </c>
      <c r="BD29" s="21">
        <f t="shared" si="51"/>
        <v>0</v>
      </c>
      <c r="BE29">
        <f t="shared" si="50"/>
        <v>0</v>
      </c>
      <c r="BH29" s="20">
        <f>Loomakasvatus!C250</f>
        <v>0</v>
      </c>
      <c r="BJ29">
        <f>Loomakasvatus!D250/1000</f>
        <v>0</v>
      </c>
      <c r="BL29">
        <f t="shared" si="9"/>
        <v>0</v>
      </c>
      <c r="BM29" s="21"/>
      <c r="BP29" s="15">
        <f>Loomakasvatus!B149</f>
        <v>0</v>
      </c>
      <c r="BQ29" s="16" t="str">
        <f>Loomakasvatus!C149</f>
        <v>Isekasvatatud taimne sööt</v>
      </c>
      <c r="BR29" s="16" t="str">
        <f>Loomakasvatus!D149</f>
        <v>Kogus (kg)</v>
      </c>
      <c r="BS29" s="16"/>
      <c r="BT29" s="16"/>
      <c r="BU29" s="17">
        <f>SUM(BT30:BT38)*1000+SUM(BT40:BT54)</f>
        <v>0</v>
      </c>
      <c r="BW29" s="20">
        <f>Loomakasvatus!C433</f>
        <v>0</v>
      </c>
      <c r="BX29" t="e">
        <f>Loomakasvatus!#REF!</f>
        <v>#REF!</v>
      </c>
      <c r="BY29">
        <f>Loomakasvatus!D433</f>
        <v>0</v>
      </c>
      <c r="CA29">
        <f t="shared" si="11"/>
        <v>0</v>
      </c>
      <c r="CB29" s="21"/>
      <c r="CD29" s="20">
        <f>Loomakasvatus!C612</f>
        <v>0</v>
      </c>
      <c r="CE29" t="e">
        <f>Loomakasvatus!#REF!</f>
        <v>#REF!</v>
      </c>
      <c r="CF29">
        <f>Loomakasvatus!D612</f>
        <v>0</v>
      </c>
      <c r="CH29">
        <f t="shared" si="12"/>
        <v>0</v>
      </c>
      <c r="CI29" s="21"/>
      <c r="CK29" s="20">
        <v>0</v>
      </c>
      <c r="CL29">
        <v>0</v>
      </c>
      <c r="CM29">
        <v>0</v>
      </c>
      <c r="CN29">
        <f t="shared" si="56"/>
        <v>0</v>
      </c>
      <c r="CO29" s="21"/>
      <c r="DJ29" s="1" t="s">
        <v>384</v>
      </c>
      <c r="DK29" s="1" t="str">
        <f>Tugitegevused!C44</f>
        <v>Vahemaa (km)</v>
      </c>
      <c r="DL29" s="1" t="s">
        <v>516</v>
      </c>
      <c r="DM29" s="1" t="s">
        <v>524</v>
      </c>
      <c r="DQ29" t="str">
        <f>Tugitegevused!B34</f>
        <v>Segaolmejäätmed, prügilasse ladestamine</v>
      </c>
      <c r="DR29">
        <f>Tugitegevused!C34</f>
        <v>0</v>
      </c>
      <c r="DS29">
        <f>IFERROR(VLOOKUP(DQ29,EFid!$A$243:$B$250,2,FALSE),"0")</f>
        <v>620</v>
      </c>
      <c r="DT29">
        <f t="shared" ref="DT29:DT35" si="57">DR29*DS29</f>
        <v>0</v>
      </c>
    </row>
    <row r="30" spans="1:128">
      <c r="A30" s="60"/>
      <c r="B30" s="365" t="s">
        <v>552</v>
      </c>
      <c r="C30" s="3" t="s">
        <v>578</v>
      </c>
      <c r="D30" s="3"/>
      <c r="E30" s="62"/>
      <c r="F30" s="62"/>
      <c r="G30" s="62"/>
      <c r="H30" s="62"/>
      <c r="I30" s="62"/>
      <c r="J30" s="62"/>
      <c r="K30" s="62"/>
      <c r="L30" s="62"/>
      <c r="M30" s="62"/>
      <c r="N30" s="62"/>
      <c r="O30" s="62"/>
      <c r="P30" s="62"/>
      <c r="Q30" s="62"/>
      <c r="R30" s="62"/>
      <c r="S30" s="62"/>
      <c r="T30" s="62"/>
      <c r="U30" s="62"/>
      <c r="V30" s="62"/>
      <c r="W30" s="62"/>
      <c r="X30" s="62"/>
      <c r="Y30" s="62">
        <f>Taimekasvatus!AA22</f>
        <v>0</v>
      </c>
      <c r="Z30" s="62">
        <f>Taimekasvatus!AB22</f>
        <v>0</v>
      </c>
      <c r="AA30" s="62">
        <f>Taimekasvatus!AC22</f>
        <v>0</v>
      </c>
      <c r="AB30" s="62">
        <f>Taimekasvatus!AD22</f>
        <v>0</v>
      </c>
      <c r="AC30" s="62">
        <f>Taimekasvatus!AE22</f>
        <v>0</v>
      </c>
      <c r="AD30" s="62">
        <f>Taimekasvatus!AF22</f>
        <v>0</v>
      </c>
      <c r="AE30" s="62">
        <f>Taimekasvatus!AG22</f>
        <v>0</v>
      </c>
      <c r="AF30" s="62">
        <f>Taimekasvatus!AH22</f>
        <v>0</v>
      </c>
      <c r="AG30" s="62">
        <f>Taimekasvatus!AI22</f>
        <v>0</v>
      </c>
      <c r="AH30" s="62">
        <f>Taimekasvatus!AJ22</f>
        <v>0</v>
      </c>
      <c r="AI30" s="62">
        <f>Taimekasvatus!AK22</f>
        <v>0</v>
      </c>
      <c r="AJ30" s="62">
        <f>Taimekasvatus!AL22</f>
        <v>0</v>
      </c>
      <c r="AK30" s="62">
        <f>Taimekasvatus!AM22</f>
        <v>0</v>
      </c>
      <c r="AL30" s="62">
        <f>Taimekasvatus!AN22</f>
        <v>0</v>
      </c>
      <c r="AM30" s="62">
        <f>Taimekasvatus!AO22</f>
        <v>0</v>
      </c>
      <c r="AN30" s="62">
        <f>Taimekasvatus!AP22</f>
        <v>0</v>
      </c>
      <c r="AO30" s="62">
        <f>Taimekasvatus!AQ22</f>
        <v>0</v>
      </c>
      <c r="AP30" s="62"/>
      <c r="AQ30" s="62"/>
      <c r="AR30" s="131"/>
      <c r="AS30" s="42">
        <f t="shared" si="13"/>
        <v>0</v>
      </c>
      <c r="AT30" s="60"/>
      <c r="AU30" t="s">
        <v>22</v>
      </c>
      <c r="AY30" s="20">
        <f>Taimekasvatus!E67</f>
        <v>0</v>
      </c>
      <c r="AZ30" s="20">
        <f>Taimekasvatus!F67</f>
        <v>0</v>
      </c>
      <c r="BA30" s="20">
        <f>Taimekasvatus!G67</f>
        <v>0</v>
      </c>
      <c r="BB30" t="str">
        <f>IFERROR(VLOOKUP(AY30,'EFid TK'!$A$38:$B$104,2,FALSE),"")</f>
        <v/>
      </c>
      <c r="BC30" t="str">
        <f>IFERROR(VLOOKUP(AY30,'EFid TK'!$A$38:$C$104,3,FALSE),"")</f>
        <v/>
      </c>
      <c r="BD30" s="21">
        <f t="shared" si="51"/>
        <v>0</v>
      </c>
      <c r="BE30">
        <f t="shared" si="50"/>
        <v>0</v>
      </c>
      <c r="BH30" s="20">
        <f>Loomakasvatus!C251</f>
        <v>0</v>
      </c>
      <c r="BJ30">
        <f>Loomakasvatus!D251/1000</f>
        <v>0</v>
      </c>
      <c r="BL30">
        <f t="shared" si="9"/>
        <v>0</v>
      </c>
      <c r="BM30" s="21"/>
      <c r="BP30" s="20">
        <f>Loomakasvatus!C150</f>
        <v>0</v>
      </c>
      <c r="BQ30" t="e">
        <f>Loomakasvatus!#REF!</f>
        <v>#REF!</v>
      </c>
      <c r="BR30">
        <f>Loomakasvatus!D150</f>
        <v>0</v>
      </c>
      <c r="BT30">
        <f t="shared" ref="BT30:BT38" si="58">IFERROR(BS30*BR30,0)</f>
        <v>0</v>
      </c>
      <c r="BU30" s="21"/>
      <c r="BW30" s="20">
        <f>Loomakasvatus!C434</f>
        <v>0</v>
      </c>
      <c r="BX30" t="e">
        <f>Loomakasvatus!#REF!</f>
        <v>#REF!</v>
      </c>
      <c r="BY30">
        <f>Loomakasvatus!D434</f>
        <v>0</v>
      </c>
      <c r="CA30">
        <f t="shared" si="11"/>
        <v>0</v>
      </c>
      <c r="CB30" s="21"/>
      <c r="CD30" s="20">
        <f>Loomakasvatus!C613</f>
        <v>0</v>
      </c>
      <c r="CE30" t="e">
        <f>Loomakasvatus!#REF!</f>
        <v>#REF!</v>
      </c>
      <c r="CF30">
        <f>Loomakasvatus!D613</f>
        <v>0</v>
      </c>
      <c r="CH30">
        <f t="shared" si="12"/>
        <v>0</v>
      </c>
      <c r="CI30" s="21"/>
      <c r="CK30" s="20">
        <v>0</v>
      </c>
      <c r="CL30">
        <v>0</v>
      </c>
      <c r="CM30">
        <v>0</v>
      </c>
      <c r="CN30">
        <f t="shared" si="56"/>
        <v>0</v>
      </c>
      <c r="CO30" s="21"/>
      <c r="DJ30" t="str">
        <f>Tugitegevused!B44</f>
        <v>Sõiduauto, mootorratas, mopeed ja takso</v>
      </c>
      <c r="DN30">
        <f>SUM(DM31:DM55)</f>
        <v>0</v>
      </c>
      <c r="DQ30" t="str">
        <f>Tugitegevused!B35</f>
        <v>Liigiti kogutud paber ja kartong</v>
      </c>
      <c r="DR30">
        <f>Tugitegevused!C35</f>
        <v>0</v>
      </c>
      <c r="DS30">
        <f>IFERROR(VLOOKUP(DQ30,EFid!$A$243:$B$250,2,FALSE),"0")</f>
        <v>28.742058534574149</v>
      </c>
      <c r="DT30">
        <f t="shared" si="57"/>
        <v>0</v>
      </c>
    </row>
    <row r="31" spans="1:128">
      <c r="A31" s="60"/>
      <c r="B31" s="20" t="s">
        <v>560</v>
      </c>
      <c r="C31" t="s">
        <v>579</v>
      </c>
      <c r="E31" s="61"/>
      <c r="F31" s="61"/>
      <c r="G31" s="61"/>
      <c r="H31" s="61"/>
      <c r="I31" s="61"/>
      <c r="J31" s="61"/>
      <c r="K31" s="61"/>
      <c r="L31" s="61"/>
      <c r="M31" s="61"/>
      <c r="N31" s="61"/>
      <c r="O31" s="61"/>
      <c r="P31" s="61"/>
      <c r="Q31" s="61"/>
      <c r="R31" s="61"/>
      <c r="S31" s="61"/>
      <c r="T31" s="61"/>
      <c r="U31" s="61"/>
      <c r="V31" s="61"/>
      <c r="W31" s="61"/>
      <c r="X31" s="61"/>
      <c r="Y31" s="61">
        <f>IFERROR(VLOOKUP(Y6,'M1 - TK'!$A$38:$F$82,4, FALSE),0)</f>
        <v>0</v>
      </c>
      <c r="Z31" s="61">
        <f>IFERROR(VLOOKUP(Z6,'M1 - TK'!$A$38:$F$82,4, FALSE),0)</f>
        <v>0</v>
      </c>
      <c r="AA31" s="61">
        <f>IFERROR(VLOOKUP(AA6,'M1 - TK'!$A$38:$F$82,4, FALSE),0)</f>
        <v>0</v>
      </c>
      <c r="AB31" s="61">
        <f>IFERROR(VLOOKUP(AB6,'M1 - TK'!$A$38:$F$82,4, FALSE),0)</f>
        <v>0</v>
      </c>
      <c r="AC31" s="61">
        <f>IFERROR(VLOOKUP(AC6,'M1 - TK'!$A$38:$F$82,4, FALSE),0)</f>
        <v>0</v>
      </c>
      <c r="AD31" s="61">
        <f>IFERROR(VLOOKUP(AD6,'M1 - TK'!$A$38:$F$82,4, FALSE),0)</f>
        <v>0</v>
      </c>
      <c r="AE31" s="61">
        <f>IFERROR(VLOOKUP(AE6,'M1 - TK'!$A$38:$F$82,4, FALSE),0)</f>
        <v>0</v>
      </c>
      <c r="AF31" s="61">
        <f>IFERROR(VLOOKUP(AF6,'M1 - TK'!$A$38:$F$82,4, FALSE),0)</f>
        <v>0</v>
      </c>
      <c r="AG31" s="61">
        <f>IFERROR(VLOOKUP(AG6,'M1 - TK'!$A$38:$F$82,4, FALSE),0)</f>
        <v>0</v>
      </c>
      <c r="AH31" s="61">
        <f>IFERROR(VLOOKUP(AH6,'M1 - TK'!$A$38:$F$82,4, FALSE),0)</f>
        <v>0</v>
      </c>
      <c r="AI31" s="61">
        <f>IFERROR(VLOOKUP(AI6,'M1 - TK'!$A$38:$F$82,4, FALSE),0)</f>
        <v>0</v>
      </c>
      <c r="AJ31" s="61">
        <f>IFERROR(VLOOKUP(AJ6,'M1 - TK'!$A$38:$F$82,4, FALSE),0)</f>
        <v>0</v>
      </c>
      <c r="AK31" s="61">
        <f>IFERROR(VLOOKUP(AK6,'M1 - TK'!$A$38:$F$82,4, FALSE),0)</f>
        <v>0</v>
      </c>
      <c r="AL31" s="61">
        <f>IFERROR(VLOOKUP(AL6,'M1 - TK'!$A$38:$F$82,4, FALSE),0)</f>
        <v>0</v>
      </c>
      <c r="AM31" s="61">
        <f>IFERROR(VLOOKUP(AM6,'M1 - TK'!$A$38:$F$82,4, FALSE),0)</f>
        <v>0</v>
      </c>
      <c r="AN31" s="61">
        <f>IFERROR(VLOOKUP(AN6,'M1 - TK'!$A$38:$F$82,4, FALSE),0)</f>
        <v>0</v>
      </c>
      <c r="AO31" s="61">
        <f>IFERROR(VLOOKUP(AO6,'M1 - TK'!$A$38:$F$82,4, FALSE),0)</f>
        <v>0</v>
      </c>
      <c r="AP31" s="61"/>
      <c r="AQ31" s="61"/>
      <c r="AR31" s="186"/>
      <c r="AS31" s="42">
        <f t="shared" si="13"/>
        <v>0</v>
      </c>
      <c r="AT31" s="60"/>
      <c r="AU31" t="s">
        <v>557</v>
      </c>
      <c r="AY31" s="20">
        <f>Taimekasvatus!E68</f>
        <v>0</v>
      </c>
      <c r="AZ31" s="20">
        <f>Taimekasvatus!F68</f>
        <v>0</v>
      </c>
      <c r="BA31" s="20">
        <f>Taimekasvatus!G68</f>
        <v>0</v>
      </c>
      <c r="BB31" t="str">
        <f>IFERROR(VLOOKUP(AY31,'EFid TK'!$A$38:$B$104,2,FALSE),"")</f>
        <v/>
      </c>
      <c r="BC31" t="str">
        <f>IFERROR(VLOOKUP(AY31,'EFid TK'!$A$38:$C$104,3,FALSE),"")</f>
        <v/>
      </c>
      <c r="BD31" s="21">
        <f t="shared" si="51"/>
        <v>0</v>
      </c>
      <c r="BE31">
        <f t="shared" si="50"/>
        <v>0</v>
      </c>
      <c r="BH31" s="20">
        <f>Loomakasvatus!C252</f>
        <v>0</v>
      </c>
      <c r="BJ31">
        <f>Loomakasvatus!D252/1000</f>
        <v>0</v>
      </c>
      <c r="BL31">
        <f t="shared" si="9"/>
        <v>0</v>
      </c>
      <c r="BM31" s="21"/>
      <c r="BP31" s="20">
        <f>Loomakasvatus!C151</f>
        <v>0</v>
      </c>
      <c r="BQ31" t="e">
        <f>Loomakasvatus!#REF!</f>
        <v>#REF!</v>
      </c>
      <c r="BR31">
        <f>Loomakasvatus!D151</f>
        <v>0</v>
      </c>
      <c r="BT31">
        <f t="shared" si="58"/>
        <v>0</v>
      </c>
      <c r="BU31" s="21"/>
      <c r="BW31" s="20">
        <f>Loomakasvatus!C435</f>
        <v>0</v>
      </c>
      <c r="BX31" t="e">
        <f>Loomakasvatus!#REF!</f>
        <v>#REF!</v>
      </c>
      <c r="BY31">
        <f>Loomakasvatus!D435</f>
        <v>0</v>
      </c>
      <c r="CA31">
        <f t="shared" si="11"/>
        <v>0</v>
      </c>
      <c r="CB31" s="21"/>
      <c r="CD31" s="20">
        <f>Loomakasvatus!C614</f>
        <v>0</v>
      </c>
      <c r="CE31" t="e">
        <f>Loomakasvatus!#REF!</f>
        <v>#REF!</v>
      </c>
      <c r="CF31">
        <f>Loomakasvatus!D614</f>
        <v>0</v>
      </c>
      <c r="CH31">
        <f t="shared" si="12"/>
        <v>0</v>
      </c>
      <c r="CI31" s="21"/>
      <c r="CK31" s="20"/>
      <c r="CO31" s="21"/>
      <c r="DJ31" t="str">
        <f>Tugitegevused!B45</f>
        <v>Sõiduauto (bio-CNG)</v>
      </c>
      <c r="DK31">
        <f>Tugitegevused!C45</f>
        <v>0</v>
      </c>
      <c r="DL31">
        <f>IFERROR(VLOOKUP(DJ31,EFid!$A$305:$B$340,2,FALSE),"0")</f>
        <v>5.8903586902355441E-4</v>
      </c>
      <c r="DM31">
        <f t="shared" ref="DM31:DM69" si="59">DK31*DL31</f>
        <v>0</v>
      </c>
      <c r="DQ31" t="str">
        <f>Tugitegevused!B36</f>
        <v>Liigiti kogutud klaaspakend</v>
      </c>
      <c r="DR31">
        <f>Tugitegevused!C36</f>
        <v>0</v>
      </c>
      <c r="DS31">
        <f>IFERROR(VLOOKUP(DQ31,EFid!$A$243:$B$250,2,FALSE),"0")</f>
        <v>28.742058534574149</v>
      </c>
      <c r="DT31">
        <f t="shared" si="57"/>
        <v>0</v>
      </c>
    </row>
    <row r="32" spans="1:128">
      <c r="A32" s="60"/>
      <c r="B32" s="20" t="s">
        <v>562</v>
      </c>
      <c r="C32" t="s">
        <v>580</v>
      </c>
      <c r="E32" s="62"/>
      <c r="F32" s="62"/>
      <c r="G32" s="62"/>
      <c r="H32" s="62"/>
      <c r="I32" s="62"/>
      <c r="J32" s="62"/>
      <c r="K32" s="62"/>
      <c r="L32" s="62"/>
      <c r="M32" s="62"/>
      <c r="N32" s="62"/>
      <c r="O32" s="62"/>
      <c r="P32" s="62"/>
      <c r="Q32" s="62"/>
      <c r="R32" s="62"/>
      <c r="S32" s="62"/>
      <c r="T32" s="62"/>
      <c r="U32" s="62"/>
      <c r="V32" s="62"/>
      <c r="W32" s="62"/>
      <c r="X32" s="62"/>
      <c r="Y32" s="62">
        <f>Taimekasvatus!AA23</f>
        <v>0</v>
      </c>
      <c r="Z32" s="62">
        <f>Taimekasvatus!AB23</f>
        <v>0</v>
      </c>
      <c r="AA32" s="62">
        <f>Taimekasvatus!AC23</f>
        <v>0</v>
      </c>
      <c r="AB32" s="62">
        <f>Taimekasvatus!AD23</f>
        <v>0</v>
      </c>
      <c r="AC32" s="62">
        <f>Taimekasvatus!AE23</f>
        <v>0</v>
      </c>
      <c r="AD32" s="62">
        <f>Taimekasvatus!AF23</f>
        <v>0</v>
      </c>
      <c r="AE32" s="62">
        <f>Taimekasvatus!AG23</f>
        <v>0</v>
      </c>
      <c r="AF32" s="62">
        <f>Taimekasvatus!AH23</f>
        <v>0</v>
      </c>
      <c r="AG32" s="62">
        <f>Taimekasvatus!AI23</f>
        <v>0</v>
      </c>
      <c r="AH32" s="62">
        <f>Taimekasvatus!AJ23</f>
        <v>0</v>
      </c>
      <c r="AI32" s="62">
        <f>Taimekasvatus!AK23</f>
        <v>0</v>
      </c>
      <c r="AJ32" s="62">
        <f>Taimekasvatus!AL23</f>
        <v>0</v>
      </c>
      <c r="AK32" s="62">
        <f>Taimekasvatus!AM23</f>
        <v>0</v>
      </c>
      <c r="AL32" s="62">
        <f>Taimekasvatus!AN23</f>
        <v>0</v>
      </c>
      <c r="AM32" s="62">
        <f>Taimekasvatus!AO23</f>
        <v>0</v>
      </c>
      <c r="AN32" s="62">
        <f>Taimekasvatus!AP23</f>
        <v>0</v>
      </c>
      <c r="AO32" s="62">
        <f>Taimekasvatus!AQ23</f>
        <v>0</v>
      </c>
      <c r="AP32" s="62"/>
      <c r="AQ32" s="62"/>
      <c r="AR32" s="131"/>
      <c r="AS32" s="42">
        <f t="shared" si="13"/>
        <v>0</v>
      </c>
      <c r="AT32" s="60"/>
      <c r="AU32" t="s">
        <v>564</v>
      </c>
      <c r="AV32" s="1"/>
      <c r="AY32" s="20">
        <f>Taimekasvatus!E69</f>
        <v>0</v>
      </c>
      <c r="AZ32" s="20">
        <f>Taimekasvatus!F69</f>
        <v>0</v>
      </c>
      <c r="BA32" s="20">
        <f>Taimekasvatus!G69</f>
        <v>0</v>
      </c>
      <c r="BB32" t="str">
        <f>IFERROR(VLOOKUP(AY32,'EFid TK'!$A$38:$B$104,2,FALSE),"")</f>
        <v/>
      </c>
      <c r="BC32" t="str">
        <f>IFERROR(VLOOKUP(AY32,'EFid TK'!$A$38:$C$104,3,FALSE),"")</f>
        <v/>
      </c>
      <c r="BD32" s="21">
        <f t="shared" si="51"/>
        <v>0</v>
      </c>
      <c r="BE32">
        <f t="shared" si="50"/>
        <v>0</v>
      </c>
      <c r="BH32" s="20">
        <f>Loomakasvatus!C253</f>
        <v>0</v>
      </c>
      <c r="BJ32">
        <f>Loomakasvatus!D253/1000</f>
        <v>0</v>
      </c>
      <c r="BL32">
        <f t="shared" si="9"/>
        <v>0</v>
      </c>
      <c r="BM32" s="21"/>
      <c r="BP32" s="20">
        <f>Loomakasvatus!C152</f>
        <v>0</v>
      </c>
      <c r="BQ32" t="e">
        <f>Loomakasvatus!#REF!</f>
        <v>#REF!</v>
      </c>
      <c r="BR32">
        <f>Loomakasvatus!D152</f>
        <v>0</v>
      </c>
      <c r="BT32">
        <f t="shared" si="58"/>
        <v>0</v>
      </c>
      <c r="BU32" s="21"/>
      <c r="BW32" s="20">
        <f>Loomakasvatus!C436</f>
        <v>0</v>
      </c>
      <c r="BX32" t="e">
        <f>Loomakasvatus!#REF!</f>
        <v>#REF!</v>
      </c>
      <c r="BY32">
        <f>Loomakasvatus!D436</f>
        <v>0</v>
      </c>
      <c r="CA32">
        <f t="shared" si="11"/>
        <v>0</v>
      </c>
      <c r="CB32" s="21"/>
      <c r="CD32" s="20">
        <f>Loomakasvatus!C615</f>
        <v>0</v>
      </c>
      <c r="CE32" t="e">
        <f>Loomakasvatus!#REF!</f>
        <v>#REF!</v>
      </c>
      <c r="CF32">
        <f>Loomakasvatus!D615</f>
        <v>0</v>
      </c>
      <c r="CH32">
        <f t="shared" si="12"/>
        <v>0</v>
      </c>
      <c r="CI32" s="21"/>
      <c r="CK32" s="80" t="s">
        <v>181</v>
      </c>
      <c r="CO32" s="21"/>
      <c r="DJ32" t="str">
        <f>Tugitegevused!B46</f>
        <v>Sõiduauto, keskmise suurusega (hübriid: bensiin/elekter)</v>
      </c>
      <c r="DK32">
        <f>Tugitegevused!C46</f>
        <v>0</v>
      </c>
      <c r="DL32">
        <f>IFERROR(VLOOKUP(DJ32,EFid!$A$305:$B$340,2,FALSE),"0")</f>
        <v>0.1399602485017529</v>
      </c>
      <c r="DM32">
        <f t="shared" si="59"/>
        <v>0</v>
      </c>
      <c r="DQ32" t="str">
        <f>Tugitegevused!B37</f>
        <v>Liigiti kogutud biojäätmed</v>
      </c>
      <c r="DR32">
        <f>Tugitegevused!C37</f>
        <v>0</v>
      </c>
      <c r="DS32">
        <f>IFERROR(VLOOKUP(DQ32,EFid!$A$243:$B$250,2,FALSE),"0")</f>
        <v>28.742058534574149</v>
      </c>
      <c r="DT32">
        <f t="shared" si="57"/>
        <v>0</v>
      </c>
    </row>
    <row r="33" spans="1:124">
      <c r="A33" s="60"/>
      <c r="B33" s="20" t="s">
        <v>566</v>
      </c>
      <c r="C33" t="s">
        <v>581</v>
      </c>
      <c r="E33" s="61"/>
      <c r="F33" s="61"/>
      <c r="G33" s="61"/>
      <c r="H33" s="61"/>
      <c r="I33" s="61"/>
      <c r="J33" s="61"/>
      <c r="K33" s="61"/>
      <c r="L33" s="61"/>
      <c r="M33" s="61"/>
      <c r="N33" s="61"/>
      <c r="O33" s="61"/>
      <c r="P33" s="61"/>
      <c r="Q33" s="61"/>
      <c r="R33" s="61"/>
      <c r="S33" s="61"/>
      <c r="T33" s="61"/>
      <c r="U33" s="61"/>
      <c r="V33" s="61"/>
      <c r="W33" s="61"/>
      <c r="X33" s="61"/>
      <c r="Y33" s="61">
        <f>IFERROR(VLOOKUP(Y6,'M1 - TK'!$A$38:$F$82,5, FALSE),0)</f>
        <v>0</v>
      </c>
      <c r="Z33" s="61">
        <f>IFERROR(VLOOKUP(Z6,'M1 - TK'!$A$38:$F$82,5, FALSE),0)</f>
        <v>0</v>
      </c>
      <c r="AA33" s="61">
        <f>IFERROR(VLOOKUP(AA6,'M1 - TK'!$A$38:$F$82,5, FALSE),0)</f>
        <v>0</v>
      </c>
      <c r="AB33" s="61">
        <f>IFERROR(VLOOKUP(AB6,'M1 - TK'!$A$38:$F$82,5, FALSE),0)</f>
        <v>0</v>
      </c>
      <c r="AC33" s="61">
        <f>IFERROR(VLOOKUP(AC6,'M1 - TK'!$A$38:$F$82,5, FALSE),0)</f>
        <v>0</v>
      </c>
      <c r="AD33" s="61">
        <f>IFERROR(VLOOKUP(AD6,'M1 - TK'!$A$38:$F$82,5, FALSE),0)</f>
        <v>0</v>
      </c>
      <c r="AE33" s="61">
        <f>IFERROR(VLOOKUP(AE6,'M1 - TK'!$A$38:$F$82,5, FALSE),0)</f>
        <v>0</v>
      </c>
      <c r="AF33" s="61">
        <f>IFERROR(VLOOKUP(AF6,'M1 - TK'!$A$38:$F$82,5, FALSE),0)</f>
        <v>0</v>
      </c>
      <c r="AG33" s="61">
        <f>IFERROR(VLOOKUP(AG6,'M1 - TK'!$A$38:$F$82,5, FALSE),0)</f>
        <v>0</v>
      </c>
      <c r="AH33" s="61">
        <f>IFERROR(VLOOKUP(AH6,'M1 - TK'!$A$38:$F$82,5, FALSE),0)</f>
        <v>0</v>
      </c>
      <c r="AI33" s="61">
        <f>IFERROR(VLOOKUP(AI6,'M1 - TK'!$A$38:$F$82,5, FALSE),0)</f>
        <v>0</v>
      </c>
      <c r="AJ33" s="61">
        <f>IFERROR(VLOOKUP(AJ6,'M1 - TK'!$A$38:$F$82,5, FALSE),0)</f>
        <v>0</v>
      </c>
      <c r="AK33" s="61">
        <f>IFERROR(VLOOKUP(AK6,'M1 - TK'!$A$38:$F$82,5, FALSE),0)</f>
        <v>0</v>
      </c>
      <c r="AL33" s="61">
        <f>IFERROR(VLOOKUP(AL6,'M1 - TK'!$A$38:$F$82,5, FALSE),0)</f>
        <v>0</v>
      </c>
      <c r="AM33" s="61">
        <f>IFERROR(VLOOKUP(AM6,'M1 - TK'!$A$38:$F$82,5, FALSE),0)</f>
        <v>0</v>
      </c>
      <c r="AN33" s="61">
        <f>IFERROR(VLOOKUP(AN6,'M1 - TK'!$A$38:$F$82,5, FALSE),0)</f>
        <v>0</v>
      </c>
      <c r="AO33" s="61">
        <f>IFERROR(VLOOKUP(AO6,'M1 - TK'!$A$38:$F$82,5, FALSE),0)</f>
        <v>0</v>
      </c>
      <c r="AP33" s="61"/>
      <c r="AQ33" s="61"/>
      <c r="AR33" s="186"/>
      <c r="AS33" s="42">
        <f t="shared" si="13"/>
        <v>0</v>
      </c>
      <c r="AT33" s="60"/>
      <c r="AU33" t="s">
        <v>557</v>
      </c>
      <c r="AY33" s="20">
        <f>Taimekasvatus!E70</f>
        <v>0</v>
      </c>
      <c r="AZ33" s="20">
        <f>Taimekasvatus!F70</f>
        <v>0</v>
      </c>
      <c r="BA33" s="20">
        <f>Taimekasvatus!G70</f>
        <v>0</v>
      </c>
      <c r="BB33" t="str">
        <f>IFERROR(VLOOKUP(AY33,'EFid TK'!$A$38:$B$104,2,FALSE),"")</f>
        <v/>
      </c>
      <c r="BC33" t="str">
        <f>IFERROR(VLOOKUP(AY33,'EFid TK'!$A$38:$C$104,3,FALSE),"")</f>
        <v/>
      </c>
      <c r="BD33" s="21">
        <f t="shared" si="51"/>
        <v>0</v>
      </c>
      <c r="BE33">
        <f t="shared" si="50"/>
        <v>0</v>
      </c>
      <c r="BH33" s="20">
        <f>Loomakasvatus!C254</f>
        <v>0</v>
      </c>
      <c r="BJ33">
        <f>Loomakasvatus!D254/1000</f>
        <v>0</v>
      </c>
      <c r="BL33">
        <f t="shared" si="9"/>
        <v>0</v>
      </c>
      <c r="BM33" s="21"/>
      <c r="BP33" s="20">
        <f>Loomakasvatus!C153</f>
        <v>0</v>
      </c>
      <c r="BQ33" t="e">
        <f>Loomakasvatus!#REF!</f>
        <v>#REF!</v>
      </c>
      <c r="BR33">
        <f>Loomakasvatus!D153</f>
        <v>0</v>
      </c>
      <c r="BT33">
        <f t="shared" si="58"/>
        <v>0</v>
      </c>
      <c r="BU33" s="21"/>
      <c r="BW33" s="20">
        <f>Loomakasvatus!C437</f>
        <v>0</v>
      </c>
      <c r="BX33" t="e">
        <f>Loomakasvatus!#REF!</f>
        <v>#REF!</v>
      </c>
      <c r="BY33">
        <f>Loomakasvatus!D437</f>
        <v>0</v>
      </c>
      <c r="CA33">
        <f t="shared" si="11"/>
        <v>0</v>
      </c>
      <c r="CB33" s="21"/>
      <c r="CD33" s="20">
        <f>Loomakasvatus!C616</f>
        <v>0</v>
      </c>
      <c r="CE33" t="e">
        <f>Loomakasvatus!#REF!</f>
        <v>#REF!</v>
      </c>
      <c r="CF33">
        <f>Loomakasvatus!D616</f>
        <v>0</v>
      </c>
      <c r="CH33">
        <f t="shared" si="12"/>
        <v>0</v>
      </c>
      <c r="CI33" s="21"/>
      <c r="CK33" s="20" t="str" cm="1">
        <f t="array" ref="CK33:CM37">Loomakasvatus!C455:E459</f>
        <v>Sööt, mille heitetegur on teada</v>
      </c>
      <c r="CL33" t="str">
        <v>Kogus (kg)</v>
      </c>
      <c r="CM33" t="str">
        <v>Heitetegur (kg CO2-ekv/kg)</v>
      </c>
      <c r="CN33" t="s">
        <v>517</v>
      </c>
      <c r="CO33" s="445">
        <f>SUM(CN34:CN37)</f>
        <v>0</v>
      </c>
      <c r="DJ33" t="str">
        <f>Tugitegevused!B47</f>
        <v>Mootorratas 4-taktiline &gt;750 cm³ (bensiin)</v>
      </c>
      <c r="DK33">
        <f>Tugitegevused!C47</f>
        <v>0</v>
      </c>
      <c r="DL33">
        <f>IFERROR(VLOOKUP(DJ33,EFid!$A$305:$B$340,2,FALSE),"0")</f>
        <v>0.13376526870687444</v>
      </c>
      <c r="DM33">
        <f t="shared" si="59"/>
        <v>0</v>
      </c>
      <c r="DQ33" t="str">
        <f>Tugitegevused!B38</f>
        <v>Segaolmejäätmed, lõppkäitlusviis pole teada</v>
      </c>
      <c r="DR33">
        <f>Tugitegevused!C38</f>
        <v>0</v>
      </c>
      <c r="DS33">
        <f>IFERROR(VLOOKUP(DQ33,EFid!$A$243:$B$250,2,FALSE),"0")</f>
        <v>620</v>
      </c>
      <c r="DT33">
        <f t="shared" si="57"/>
        <v>0</v>
      </c>
    </row>
    <row r="34" spans="1:124" ht="15" thickBot="1">
      <c r="A34" s="60"/>
      <c r="B34" s="58" t="s">
        <v>569</v>
      </c>
      <c r="C34" s="36" t="s">
        <v>582</v>
      </c>
      <c r="D34" s="36"/>
      <c r="E34" s="406"/>
      <c r="F34" s="406"/>
      <c r="G34" s="406"/>
      <c r="H34" s="406"/>
      <c r="I34" s="406"/>
      <c r="J34" s="406"/>
      <c r="K34" s="406"/>
      <c r="L34" s="406"/>
      <c r="M34" s="406"/>
      <c r="N34" s="406"/>
      <c r="O34" s="406"/>
      <c r="P34" s="406"/>
      <c r="Q34" s="406"/>
      <c r="R34" s="406"/>
      <c r="S34" s="406"/>
      <c r="T34" s="406"/>
      <c r="U34" s="406"/>
      <c r="V34" s="406"/>
      <c r="W34" s="406"/>
      <c r="X34" s="406"/>
      <c r="Y34" s="406">
        <f>IFERROR(VLOOKUP(Y6,'M1 - TK'!$A$38:$F$82,6,FALSE),0)</f>
        <v>0</v>
      </c>
      <c r="Z34" s="406">
        <f>IFERROR(VLOOKUP(Z6,'M1 - TK'!$A$38:$F$82,6,FALSE),0)</f>
        <v>0</v>
      </c>
      <c r="AA34" s="406">
        <f>IFERROR(VLOOKUP(AA6,'M1 - TK'!$A$38:$F$82,6,FALSE),0)</f>
        <v>0</v>
      </c>
      <c r="AB34" s="406">
        <f>IFERROR(VLOOKUP(AB6,'M1 - TK'!$A$38:$F$82,6,FALSE),0)</f>
        <v>0</v>
      </c>
      <c r="AC34" s="406">
        <f>IFERROR(VLOOKUP(AC6,'M1 - TK'!$A$38:$F$82,6,FALSE),0)</f>
        <v>0</v>
      </c>
      <c r="AD34" s="406">
        <f>IFERROR(VLOOKUP(AD6,'M1 - TK'!$A$38:$F$82,6,FALSE),0)</f>
        <v>0</v>
      </c>
      <c r="AE34" s="406">
        <f>IFERROR(VLOOKUP(AE6,'M1 - TK'!$A$38:$F$82,6,FALSE),0)</f>
        <v>0</v>
      </c>
      <c r="AF34" s="406">
        <f>IFERROR(VLOOKUP(AF6,'M1 - TK'!$A$38:$F$82,6,FALSE),0)</f>
        <v>0</v>
      </c>
      <c r="AG34" s="406">
        <f>IFERROR(VLOOKUP(AG6,'M1 - TK'!$A$38:$F$82,6,FALSE),0)</f>
        <v>0</v>
      </c>
      <c r="AH34" s="406">
        <f>IFERROR(VLOOKUP(AH6,'M1 - TK'!$A$38:$F$82,6,FALSE),0)</f>
        <v>0</v>
      </c>
      <c r="AI34" s="406">
        <f>IFERROR(VLOOKUP(AI6,'M1 - TK'!$A$38:$F$82,6,FALSE),0)</f>
        <v>0</v>
      </c>
      <c r="AJ34" s="406">
        <f>IFERROR(VLOOKUP(AJ6,'M1 - TK'!$A$38:$F$82,6,FALSE),0)</f>
        <v>0</v>
      </c>
      <c r="AK34" s="406">
        <f>IFERROR(VLOOKUP(AK6,'M1 - TK'!$A$38:$F$82,6,FALSE),0)</f>
        <v>0</v>
      </c>
      <c r="AL34" s="406">
        <f>IFERROR(VLOOKUP(AL6,'M1 - TK'!$A$38:$F$82,6,FALSE),0)</f>
        <v>0</v>
      </c>
      <c r="AM34" s="406">
        <f>IFERROR(VLOOKUP(AM6,'M1 - TK'!$A$38:$F$82,6,FALSE),0)</f>
        <v>0</v>
      </c>
      <c r="AN34" s="406">
        <f>IFERROR(VLOOKUP(AN6,'M1 - TK'!$A$38:$F$82,6,FALSE),0)</f>
        <v>0</v>
      </c>
      <c r="AO34" s="406">
        <f>IFERROR(VLOOKUP(AO6,'M1 - TK'!$A$38:$F$82,6,FALSE),0)</f>
        <v>0</v>
      </c>
      <c r="AP34" s="406"/>
      <c r="AQ34" s="406"/>
      <c r="AR34" s="407"/>
      <c r="AS34" s="42">
        <f t="shared" si="13"/>
        <v>0</v>
      </c>
      <c r="AT34" s="60"/>
      <c r="AU34" t="s">
        <v>557</v>
      </c>
      <c r="AY34" s="20">
        <f>Taimekasvatus!E71</f>
        <v>0</v>
      </c>
      <c r="AZ34" s="20">
        <f>Taimekasvatus!F71</f>
        <v>0</v>
      </c>
      <c r="BA34" s="20">
        <f>Taimekasvatus!G71</f>
        <v>0</v>
      </c>
      <c r="BB34" t="str">
        <f>IFERROR(VLOOKUP(AY34,'EFid TK'!$A$38:$B$104,2,FALSE),"")</f>
        <v/>
      </c>
      <c r="BC34" t="str">
        <f>IFERROR(VLOOKUP(AY34,'EFid TK'!$A$38:$C$104,3,FALSE),"")</f>
        <v/>
      </c>
      <c r="BD34" s="21">
        <f t="shared" si="51"/>
        <v>0</v>
      </c>
      <c r="BE34">
        <f t="shared" si="50"/>
        <v>0</v>
      </c>
      <c r="BH34" s="20">
        <f>Loomakasvatus!C255</f>
        <v>0</v>
      </c>
      <c r="BJ34">
        <f>Loomakasvatus!D255/1000</f>
        <v>0</v>
      </c>
      <c r="BL34">
        <f t="shared" si="9"/>
        <v>0</v>
      </c>
      <c r="BM34" s="21"/>
      <c r="BP34" s="20">
        <f>Loomakasvatus!C154</f>
        <v>0</v>
      </c>
      <c r="BQ34" t="e">
        <f>Loomakasvatus!#REF!</f>
        <v>#REF!</v>
      </c>
      <c r="BR34">
        <f>Loomakasvatus!D154</f>
        <v>0</v>
      </c>
      <c r="BT34">
        <f t="shared" si="58"/>
        <v>0</v>
      </c>
      <c r="BU34" s="21"/>
      <c r="BW34" s="20">
        <f>Loomakasvatus!C438</f>
        <v>0</v>
      </c>
      <c r="BX34" t="e">
        <f>Loomakasvatus!#REF!</f>
        <v>#REF!</v>
      </c>
      <c r="BY34">
        <f>Loomakasvatus!D438</f>
        <v>0</v>
      </c>
      <c r="CA34">
        <f t="shared" si="11"/>
        <v>0</v>
      </c>
      <c r="CB34" s="21"/>
      <c r="CD34" s="58">
        <f>Loomakasvatus!C617</f>
        <v>0</v>
      </c>
      <c r="CE34" s="36" t="e">
        <f>Loomakasvatus!#REF!</f>
        <v>#REF!</v>
      </c>
      <c r="CF34" s="36">
        <f>Loomakasvatus!D617</f>
        <v>0</v>
      </c>
      <c r="CG34" s="36"/>
      <c r="CH34" s="36">
        <f t="shared" si="12"/>
        <v>0</v>
      </c>
      <c r="CI34" s="37"/>
      <c r="CK34" s="20">
        <v>0</v>
      </c>
      <c r="CL34">
        <v>0</v>
      </c>
      <c r="CM34">
        <v>0</v>
      </c>
      <c r="CN34">
        <f>CL34*CM34</f>
        <v>0</v>
      </c>
      <c r="CO34" s="21"/>
      <c r="DJ34" t="str">
        <f>Tugitegevused!B48</f>
        <v>Sõiduauto (pistikhübriid: bensiin/taastuvelekter) (keskmistatud)</v>
      </c>
      <c r="DK34">
        <f>Tugitegevused!C48</f>
        <v>0</v>
      </c>
      <c r="DL34">
        <f>IFERROR(VLOOKUP(DJ34,EFid!$A$305:$B$340,2,FALSE),"0")</f>
        <v>0.14269576841728057</v>
      </c>
      <c r="DM34">
        <f t="shared" si="59"/>
        <v>0</v>
      </c>
      <c r="DQ34">
        <f>Tugitegevused!B39</f>
        <v>0</v>
      </c>
      <c r="DR34">
        <f>Tugitegevused!C39</f>
        <v>0</v>
      </c>
      <c r="DS34" t="str">
        <f>IFERROR(VLOOKUP(DQ34,EFid!$A$243:$B$250,2,FALSE),"0")</f>
        <v>0</v>
      </c>
      <c r="DT34">
        <f t="shared" si="57"/>
        <v>0</v>
      </c>
    </row>
    <row r="35" spans="1:124">
      <c r="A35" s="1" t="s">
        <v>583</v>
      </c>
      <c r="B35" s="90" t="s">
        <v>584</v>
      </c>
      <c r="C35" s="16"/>
      <c r="D35" s="16"/>
      <c r="E35" s="404"/>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f>IFERROR((AP39*AP36*AP40*(1-AP41)+(AP36*AP42*AP43)),0)</f>
        <v>0</v>
      </c>
      <c r="AQ35" s="404">
        <f>IFERROR((AQ39*AQ36*AQ40*(1-AQ41)+(AQ36*AQ42*AQ43)),0)</f>
        <v>0</v>
      </c>
      <c r="AR35" s="130">
        <f>IFERROR((AR39*AR36*AR40*(1-AR41)+(AR36*AR42*AR43)),0)</f>
        <v>0</v>
      </c>
      <c r="AS35" s="42">
        <f t="shared" si="13"/>
        <v>0</v>
      </c>
      <c r="AT35" s="1" t="s">
        <v>583</v>
      </c>
      <c r="AU35" t="s">
        <v>73</v>
      </c>
      <c r="AY35" s="20" t="str">
        <f>Taimekasvatus!E72</f>
        <v>Fosfori vorm väetises</v>
      </c>
      <c r="AZ35" s="20" t="str">
        <f>Taimekasvatus!F72</f>
        <v>Väetise kogus (kg)</v>
      </c>
      <c r="BA35" s="20" t="str">
        <f>Taimekasvatus!G72</f>
        <v>Fosfori %</v>
      </c>
      <c r="BB35" t="str">
        <f>IFERROR(VLOOKUP(AY35,'EFid TK'!$A$38:$B$104,2,FALSE),"")</f>
        <v/>
      </c>
      <c r="BC35" t="str">
        <f>IFERROR(VLOOKUP(AY35,'EFid TK'!$A$38:$C$104,3,FALSE),"")</f>
        <v/>
      </c>
      <c r="BD35" s="448">
        <f>SUM(BD36:BD39)</f>
        <v>0</v>
      </c>
      <c r="BE35" t="s">
        <v>585</v>
      </c>
      <c r="BH35" s="20">
        <f>Loomakasvatus!C256</f>
        <v>0</v>
      </c>
      <c r="BJ35">
        <f>Loomakasvatus!D256/1000</f>
        <v>0</v>
      </c>
      <c r="BL35">
        <f t="shared" si="9"/>
        <v>0</v>
      </c>
      <c r="BM35" s="21"/>
      <c r="BP35" s="20">
        <f>Loomakasvatus!C155</f>
        <v>0</v>
      </c>
      <c r="BQ35" t="e">
        <f>Loomakasvatus!#REF!</f>
        <v>#REF!</v>
      </c>
      <c r="BR35">
        <f>Loomakasvatus!D155</f>
        <v>0</v>
      </c>
      <c r="BT35">
        <f t="shared" si="58"/>
        <v>0</v>
      </c>
      <c r="BU35" s="21"/>
      <c r="BW35" s="20">
        <f>Loomakasvatus!C439</f>
        <v>0</v>
      </c>
      <c r="BX35" t="e">
        <f>Loomakasvatus!#REF!</f>
        <v>#REF!</v>
      </c>
      <c r="BY35">
        <f>Loomakasvatus!D439</f>
        <v>0</v>
      </c>
      <c r="CA35">
        <f t="shared" si="11"/>
        <v>0</v>
      </c>
      <c r="CB35" s="21"/>
      <c r="CD35" s="15">
        <f>Loomakasvatus!B618</f>
        <v>0</v>
      </c>
      <c r="CE35" s="16" t="str">
        <f>Loomakasvatus!C618</f>
        <v>Muu sööt</v>
      </c>
      <c r="CF35" s="16" t="str">
        <f>Loomakasvatus!D618</f>
        <v>Kogus (kg)</v>
      </c>
      <c r="CG35" s="16"/>
      <c r="CH35" s="16"/>
      <c r="CI35" s="17"/>
      <c r="CK35" s="20">
        <v>0</v>
      </c>
      <c r="CL35">
        <v>0</v>
      </c>
      <c r="CM35">
        <v>0</v>
      </c>
      <c r="CN35">
        <f t="shared" ref="CN35:CN37" si="60">CL35*CM35</f>
        <v>0</v>
      </c>
      <c r="CO35" s="21"/>
      <c r="DJ35" t="str">
        <f>Tugitegevused!B49</f>
        <v>Sõiduauto (tavaelekter)</v>
      </c>
      <c r="DK35">
        <f>Tugitegevused!C49</f>
        <v>0</v>
      </c>
      <c r="DL35">
        <f>IFERROR(VLOOKUP(DJ35,EFid!$A$305:$B$340,2,FALSE),"0")</f>
        <v>0.12239200000000001</v>
      </c>
      <c r="DM35">
        <f t="shared" si="59"/>
        <v>0</v>
      </c>
      <c r="DQ35">
        <f>Tugitegevused!B40</f>
        <v>0</v>
      </c>
      <c r="DR35">
        <f>Tugitegevused!C40</f>
        <v>0</v>
      </c>
      <c r="DS35" t="str">
        <f>IFERROR(VLOOKUP(DQ35,EFid!$A$243:$B$250,2,FALSE),"0")</f>
        <v>0</v>
      </c>
      <c r="DT35">
        <f t="shared" si="57"/>
        <v>0</v>
      </c>
    </row>
    <row r="36" spans="1:124">
      <c r="B36" s="365" t="s">
        <v>586</v>
      </c>
      <c r="C36" s="3" t="s">
        <v>587</v>
      </c>
      <c r="D36" s="3"/>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f t="shared" ref="AP36:AR36" si="61">AP37*AP38</f>
        <v>0</v>
      </c>
      <c r="AQ36" s="61">
        <f t="shared" si="61"/>
        <v>0</v>
      </c>
      <c r="AR36" s="186">
        <f t="shared" si="61"/>
        <v>0</v>
      </c>
      <c r="AS36" s="42">
        <f t="shared" si="13"/>
        <v>0</v>
      </c>
      <c r="AU36" t="s">
        <v>544</v>
      </c>
      <c r="AY36" s="20">
        <f>Taimekasvatus!E73</f>
        <v>0</v>
      </c>
      <c r="AZ36" s="20">
        <f>Taimekasvatus!F73</f>
        <v>0</v>
      </c>
      <c r="BA36" s="20">
        <f>Taimekasvatus!G73</f>
        <v>0</v>
      </c>
      <c r="BB36" t="str">
        <f>IFERROR(VLOOKUP(AY36,'EFid TK'!$A$38:$B$104,2,FALSE),"")</f>
        <v/>
      </c>
      <c r="BC36" t="str">
        <f>IFERROR(VLOOKUP(AY36,'EFid TK'!$A$38:$C$104,3,FALSE),"")</f>
        <v/>
      </c>
      <c r="BD36" s="21">
        <f>IFERROR(BA36/100*AZ36*BB36,0)</f>
        <v>0</v>
      </c>
      <c r="BE36">
        <f>BA36/100*AZ36</f>
        <v>0</v>
      </c>
      <c r="BF36" s="444">
        <f>SUM(BE36:BE39)</f>
        <v>0</v>
      </c>
      <c r="BH36" s="2">
        <f>Loomakasvatus!B257</f>
        <v>0</v>
      </c>
      <c r="BI36" s="3" t="str">
        <f>Loomakasvatus!C257</f>
        <v>Muu sööt</v>
      </c>
      <c r="BJ36" s="3" t="str">
        <f>Loomakasvatus!D257</f>
        <v>Kogus (kg)</v>
      </c>
      <c r="BK36" s="3"/>
      <c r="BL36" s="3"/>
      <c r="BM36" s="9"/>
      <c r="BP36" s="20">
        <f>Loomakasvatus!C156</f>
        <v>0</v>
      </c>
      <c r="BQ36" t="e">
        <f>Loomakasvatus!#REF!</f>
        <v>#REF!</v>
      </c>
      <c r="BR36">
        <f>Loomakasvatus!D156</f>
        <v>0</v>
      </c>
      <c r="BT36">
        <f t="shared" si="58"/>
        <v>0</v>
      </c>
      <c r="BU36" s="21"/>
      <c r="BW36" s="20">
        <f>Loomakasvatus!C440</f>
        <v>0</v>
      </c>
      <c r="BX36" t="e">
        <f>Loomakasvatus!#REF!</f>
        <v>#REF!</v>
      </c>
      <c r="BY36">
        <f>Loomakasvatus!D440</f>
        <v>0</v>
      </c>
      <c r="CA36">
        <f t="shared" si="11"/>
        <v>0</v>
      </c>
      <c r="CB36" s="21"/>
      <c r="CD36" s="20">
        <f>Loomakasvatus!C619</f>
        <v>0</v>
      </c>
      <c r="CE36" t="e">
        <f>Loomakasvatus!#REF!</f>
        <v>#REF!</v>
      </c>
      <c r="CF36">
        <f>Loomakasvatus!D619</f>
        <v>0</v>
      </c>
      <c r="CG36">
        <f>IFERROR(VLOOKUP(CD36,'EFid TK'!$B$4:$C$36,2,FALSE),0)</f>
        <v>0</v>
      </c>
      <c r="CH36">
        <f t="shared" si="12"/>
        <v>0</v>
      </c>
      <c r="CI36" s="21"/>
      <c r="CK36" s="20">
        <v>0</v>
      </c>
      <c r="CL36">
        <v>0</v>
      </c>
      <c r="CM36">
        <v>0</v>
      </c>
      <c r="CN36">
        <f t="shared" si="60"/>
        <v>0</v>
      </c>
      <c r="CO36" s="21"/>
      <c r="DJ36">
        <f>Tugitegevused!B50</f>
        <v>0</v>
      </c>
      <c r="DK36">
        <f>Tugitegevused!C50</f>
        <v>0</v>
      </c>
      <c r="DL36" t="str">
        <f>IFERROR(VLOOKUP(DJ36,EFid!$A$305:$B$340,2,FALSE),"0")</f>
        <v>0</v>
      </c>
      <c r="DM36">
        <f t="shared" si="59"/>
        <v>0</v>
      </c>
    </row>
    <row r="37" spans="1:124">
      <c r="B37" s="20" t="s">
        <v>588</v>
      </c>
      <c r="C37" t="s">
        <v>589</v>
      </c>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f>Taimekasvatus!AR20*1000</f>
        <v>0</v>
      </c>
      <c r="AQ37" s="62">
        <f>Taimekasvatus!AS20*1000</f>
        <v>0</v>
      </c>
      <c r="AR37" s="62">
        <f>Taimekasvatus!AT20*1000</f>
        <v>0</v>
      </c>
      <c r="AS37" s="42">
        <f t="shared" si="13"/>
        <v>0</v>
      </c>
      <c r="AU37" t="s">
        <v>38</v>
      </c>
      <c r="AY37" s="20">
        <f>Taimekasvatus!E74</f>
        <v>0</v>
      </c>
      <c r="AZ37" s="20">
        <f>Taimekasvatus!F74</f>
        <v>0</v>
      </c>
      <c r="BA37" s="20">
        <f>Taimekasvatus!G74</f>
        <v>0</v>
      </c>
      <c r="BB37" t="str">
        <f>IFERROR(VLOOKUP(AY37,'EFid TK'!$A$38:$B$104,2,FALSE),"")</f>
        <v/>
      </c>
      <c r="BC37" t="str">
        <f>IFERROR(VLOOKUP(AY37,'EFid TK'!$A$38:$C$104,3,FALSE),"")</f>
        <v/>
      </c>
      <c r="BD37" s="21">
        <f t="shared" ref="BD37:BD39" si="62">IFERROR(BA37/100*AZ37*BB37,0)</f>
        <v>0</v>
      </c>
      <c r="BE37">
        <f>BA37/100*AZ37</f>
        <v>0</v>
      </c>
      <c r="BH37" s="6">
        <f>Loomakasvatus!C258</f>
        <v>0</v>
      </c>
      <c r="BI37">
        <f>Loomakasvatus!D258</f>
        <v>0</v>
      </c>
      <c r="BJ37">
        <f>Loomakasvatus!D258</f>
        <v>0</v>
      </c>
      <c r="BK37">
        <f>IFERROR(VLOOKUP(BH37,'EFid TK'!$B$4:$C$36,2,FALSE),0)</f>
        <v>0</v>
      </c>
      <c r="BL37">
        <f t="shared" si="9"/>
        <v>0</v>
      </c>
      <c r="BM37" s="11"/>
      <c r="BP37" s="20">
        <f>Loomakasvatus!C157</f>
        <v>0</v>
      </c>
      <c r="BQ37" t="e">
        <f>Loomakasvatus!#REF!</f>
        <v>#REF!</v>
      </c>
      <c r="BR37">
        <f>Loomakasvatus!D157</f>
        <v>0</v>
      </c>
      <c r="BT37">
        <f t="shared" si="58"/>
        <v>0</v>
      </c>
      <c r="BU37" s="21"/>
      <c r="BW37" s="2">
        <f>Loomakasvatus!B441</f>
        <v>0</v>
      </c>
      <c r="BX37" s="3" t="str">
        <f>Loomakasvatus!C441</f>
        <v>Muu sööt</v>
      </c>
      <c r="BY37" s="3" t="str">
        <f>Loomakasvatus!D441</f>
        <v>Kogus (kg)</v>
      </c>
      <c r="BZ37" s="3"/>
      <c r="CA37" s="3"/>
      <c r="CB37" s="9"/>
      <c r="CD37" s="20">
        <f>Loomakasvatus!C620</f>
        <v>0</v>
      </c>
      <c r="CE37" t="e">
        <f>Loomakasvatus!#REF!</f>
        <v>#REF!</v>
      </c>
      <c r="CF37">
        <f>Loomakasvatus!D620</f>
        <v>0</v>
      </c>
      <c r="CG37">
        <f>IFERROR(VLOOKUP(CD37,'EFid TK'!$B$4:$C$36,2,FALSE),0)</f>
        <v>0</v>
      </c>
      <c r="CH37">
        <f t="shared" si="12"/>
        <v>0</v>
      </c>
      <c r="CI37" s="21"/>
      <c r="CK37" s="20">
        <v>0</v>
      </c>
      <c r="CL37">
        <v>0</v>
      </c>
      <c r="CM37">
        <v>0</v>
      </c>
      <c r="CN37">
        <f t="shared" si="60"/>
        <v>0</v>
      </c>
      <c r="CO37" s="21"/>
      <c r="DJ37">
        <f>Tugitegevused!B51</f>
        <v>0</v>
      </c>
      <c r="DK37">
        <f>Tugitegevused!C51</f>
        <v>0</v>
      </c>
      <c r="DL37" t="str">
        <f>IFERROR(VLOOKUP(DJ37,EFid!$A$305:$B$340,2,FALSE),"0")</f>
        <v>0</v>
      </c>
      <c r="DM37">
        <f t="shared" si="59"/>
        <v>0</v>
      </c>
    </row>
    <row r="38" spans="1:124" ht="15" thickBot="1">
      <c r="B38" s="20" t="s">
        <v>549</v>
      </c>
      <c r="C38" t="s">
        <v>550</v>
      </c>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f>IFERROR(VLOOKUP(AP6,'M1 - TK'!$A$38:$F$82,2, FALSE),0)</f>
        <v>0</v>
      </c>
      <c r="AQ38" s="179">
        <f>IFERROR(VLOOKUP(AQ6,'M1 - TK'!$A$38:$F$82,2, FALSE),0)</f>
        <v>0</v>
      </c>
      <c r="AR38" s="405">
        <f>IFERROR(VLOOKUP(AR6,'M1 - TK'!$A$38:$F$82,2, FALSE),0)</f>
        <v>0</v>
      </c>
      <c r="AS38" s="42">
        <f t="shared" si="13"/>
        <v>0</v>
      </c>
      <c r="AV38" s="1"/>
      <c r="AW38" s="1"/>
      <c r="AY38" s="20">
        <f>Taimekasvatus!E75</f>
        <v>0</v>
      </c>
      <c r="AZ38" s="20">
        <f>Taimekasvatus!F75</f>
        <v>0</v>
      </c>
      <c r="BA38" s="20">
        <f>Taimekasvatus!G75</f>
        <v>0</v>
      </c>
      <c r="BB38" t="str">
        <f>IFERROR(VLOOKUP(AY38,'EFid TK'!$A$38:$B$104,2,FALSE),"")</f>
        <v/>
      </c>
      <c r="BC38" t="str">
        <f>IFERROR(VLOOKUP(AY38,'EFid TK'!$A$38:$C$104,3,FALSE),"")</f>
        <v/>
      </c>
      <c r="BD38" s="21">
        <f t="shared" si="62"/>
        <v>0</v>
      </c>
      <c r="BE38">
        <f>BA38/100*AZ38</f>
        <v>0</v>
      </c>
      <c r="BH38" s="6">
        <f>Loomakasvatus!C259</f>
        <v>0</v>
      </c>
      <c r="BI38">
        <f>Loomakasvatus!D259</f>
        <v>0</v>
      </c>
      <c r="BJ38">
        <f>Loomakasvatus!D259</f>
        <v>0</v>
      </c>
      <c r="BK38">
        <f>IFERROR(VLOOKUP(BH38,'EFid TK'!$B$4:$C$36,2,FALSE),0)</f>
        <v>0</v>
      </c>
      <c r="BL38">
        <f t="shared" si="9"/>
        <v>0</v>
      </c>
      <c r="BM38" s="11"/>
      <c r="BP38" s="58">
        <f>Loomakasvatus!C158</f>
        <v>0</v>
      </c>
      <c r="BQ38" s="36" t="e">
        <f>Loomakasvatus!#REF!</f>
        <v>#REF!</v>
      </c>
      <c r="BR38" s="36">
        <f>Loomakasvatus!D158</f>
        <v>0</v>
      </c>
      <c r="BS38" s="36"/>
      <c r="BT38" s="36">
        <f t="shared" si="58"/>
        <v>0</v>
      </c>
      <c r="BU38" s="37"/>
      <c r="BW38" s="6">
        <f>Loomakasvatus!C442</f>
        <v>0</v>
      </c>
      <c r="BX38" t="e">
        <f>Loomakasvatus!#REF!</f>
        <v>#REF!</v>
      </c>
      <c r="BY38">
        <f>Loomakasvatus!D442</f>
        <v>0</v>
      </c>
      <c r="BZ38">
        <f>IFERROR(VLOOKUP(BW38,'EFid TK'!$B$4:$C$36,2,FALSE),0)</f>
        <v>0</v>
      </c>
      <c r="CA38">
        <f t="shared" si="11"/>
        <v>0</v>
      </c>
      <c r="CB38" s="11"/>
      <c r="CD38" s="20">
        <f>Loomakasvatus!C621</f>
        <v>0</v>
      </c>
      <c r="CE38" t="e">
        <f>Loomakasvatus!#REF!</f>
        <v>#REF!</v>
      </c>
      <c r="CF38">
        <f>Loomakasvatus!D621</f>
        <v>0</v>
      </c>
      <c r="CG38">
        <f>IFERROR(VLOOKUP(CD38,'EFid TK'!$B$4:$C$36,2,FALSE),0)</f>
        <v>0</v>
      </c>
      <c r="CH38">
        <f t="shared" si="12"/>
        <v>0</v>
      </c>
      <c r="CI38" s="21"/>
      <c r="CK38" s="20"/>
      <c r="CO38" s="21"/>
      <c r="DJ38">
        <f>Tugitegevused!B52</f>
        <v>0</v>
      </c>
      <c r="DK38">
        <f>Tugitegevused!C52</f>
        <v>0</v>
      </c>
      <c r="DL38" t="str">
        <f>IFERROR(VLOOKUP(DJ38,EFid!$A$305:$B$340,2,FALSE),"0")</f>
        <v>0</v>
      </c>
      <c r="DM38">
        <f t="shared" si="59"/>
        <v>0</v>
      </c>
    </row>
    <row r="39" spans="1:124">
      <c r="B39" s="365" t="s">
        <v>590</v>
      </c>
      <c r="C39" s="3" t="s">
        <v>591</v>
      </c>
      <c r="D39" s="3"/>
      <c r="E39" s="334"/>
      <c r="F39" s="334"/>
      <c r="G39" s="334"/>
      <c r="H39" s="334"/>
      <c r="I39" s="334"/>
      <c r="J39" s="334"/>
      <c r="K39" s="334"/>
      <c r="L39" s="334"/>
      <c r="M39" s="334"/>
      <c r="N39" s="334"/>
      <c r="O39" s="334"/>
      <c r="P39" s="334"/>
      <c r="Q39" s="334"/>
      <c r="R39" s="334"/>
      <c r="S39" s="334"/>
      <c r="T39" s="334"/>
      <c r="U39" s="334"/>
      <c r="V39" s="334"/>
      <c r="W39" s="334"/>
      <c r="X39" s="334"/>
      <c r="Y39" s="334"/>
      <c r="Z39" s="334"/>
      <c r="AA39" s="334"/>
      <c r="AB39" s="334"/>
      <c r="AC39" s="334"/>
      <c r="AD39" s="334"/>
      <c r="AE39" s="334"/>
      <c r="AF39" s="334"/>
      <c r="AG39" s="334"/>
      <c r="AH39" s="334"/>
      <c r="AI39" s="334"/>
      <c r="AJ39" s="334"/>
      <c r="AK39" s="334"/>
      <c r="AL39" s="334"/>
      <c r="AM39" s="334"/>
      <c r="AN39" s="334"/>
      <c r="AO39" s="334"/>
      <c r="AP39" s="334">
        <f>Taimekasvatus!AR22</f>
        <v>0</v>
      </c>
      <c r="AQ39" s="334">
        <f>Taimekasvatus!AS22</f>
        <v>0</v>
      </c>
      <c r="AR39" s="408">
        <f>Taimekasvatus!AT22</f>
        <v>0</v>
      </c>
      <c r="AS39" s="42">
        <f t="shared" si="13"/>
        <v>0</v>
      </c>
      <c r="AU39" t="s">
        <v>22</v>
      </c>
      <c r="AY39" s="20">
        <f>Taimekasvatus!E76</f>
        <v>0</v>
      </c>
      <c r="AZ39" s="20">
        <f>Taimekasvatus!F76</f>
        <v>0</v>
      </c>
      <c r="BA39" s="20">
        <f>Taimekasvatus!G76</f>
        <v>0</v>
      </c>
      <c r="BB39" t="str">
        <f>IFERROR(VLOOKUP(AY39,'EFid TK'!$A$38:$B$104,2,FALSE),"")</f>
        <v/>
      </c>
      <c r="BC39" t="str">
        <f>IFERROR(VLOOKUP(AY39,'EFid TK'!$A$38:$C$104,3,FALSE),"")</f>
        <v/>
      </c>
      <c r="BD39" s="21">
        <f t="shared" si="62"/>
        <v>0</v>
      </c>
      <c r="BE39">
        <f>BA39/100*AZ39</f>
        <v>0</v>
      </c>
      <c r="BH39" s="6">
        <f>Loomakasvatus!C260</f>
        <v>0</v>
      </c>
      <c r="BI39">
        <f>Loomakasvatus!D260</f>
        <v>0</v>
      </c>
      <c r="BJ39">
        <f>Loomakasvatus!D260</f>
        <v>0</v>
      </c>
      <c r="BK39">
        <f>IFERROR(VLOOKUP(BH39,'EFid TK'!$B$4:$C$36,2,FALSE),0)</f>
        <v>0</v>
      </c>
      <c r="BL39">
        <f t="shared" si="9"/>
        <v>0</v>
      </c>
      <c r="BM39" s="11"/>
      <c r="BP39" s="15">
        <f>Loomakasvatus!B159</f>
        <v>0</v>
      </c>
      <c r="BQ39" s="16" t="str">
        <f>Loomakasvatus!C159</f>
        <v>Muu sööt</v>
      </c>
      <c r="BR39" s="16" t="str">
        <f>Loomakasvatus!D159</f>
        <v>Kogus (kg)</v>
      </c>
      <c r="BS39" s="16"/>
      <c r="BT39" s="16"/>
      <c r="BU39" s="17"/>
      <c r="BW39" s="6">
        <f>Loomakasvatus!C443</f>
        <v>0</v>
      </c>
      <c r="BX39" t="e">
        <f>Loomakasvatus!#REF!</f>
        <v>#REF!</v>
      </c>
      <c r="BY39">
        <f>Loomakasvatus!D443</f>
        <v>0</v>
      </c>
      <c r="BZ39">
        <f>IFERROR(VLOOKUP(BW39,'EFid TK'!$B$4:$C$36,2,FALSE),0)</f>
        <v>0</v>
      </c>
      <c r="CA39">
        <f t="shared" si="11"/>
        <v>0</v>
      </c>
      <c r="CB39" s="11"/>
      <c r="CD39" s="20">
        <f>Loomakasvatus!C622</f>
        <v>0</v>
      </c>
      <c r="CE39" t="e">
        <f>Loomakasvatus!#REF!</f>
        <v>#REF!</v>
      </c>
      <c r="CF39">
        <f>Loomakasvatus!D622</f>
        <v>0</v>
      </c>
      <c r="CG39">
        <f>IFERROR(VLOOKUP(CD39,'EFid TK'!$B$4:$C$36,2,FALSE),0)</f>
        <v>0</v>
      </c>
      <c r="CH39">
        <f t="shared" si="12"/>
        <v>0</v>
      </c>
      <c r="CI39" s="21"/>
      <c r="CK39" s="80" t="s">
        <v>182</v>
      </c>
      <c r="CO39" s="21"/>
      <c r="DJ39">
        <f>Tugitegevused!B53</f>
        <v>0</v>
      </c>
      <c r="DK39">
        <f>Tugitegevused!C53</f>
        <v>0</v>
      </c>
      <c r="DL39" t="str">
        <f>IFERROR(VLOOKUP(DJ39,EFid!$A$305:$B$340,2,FALSE),"0")</f>
        <v>0</v>
      </c>
      <c r="DM39">
        <f t="shared" si="59"/>
        <v>0</v>
      </c>
    </row>
    <row r="40" spans="1:124">
      <c r="B40" s="409" t="s">
        <v>592</v>
      </c>
      <c r="C40" t="s">
        <v>593</v>
      </c>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f>IFERROR(VLOOKUP(AP6,'M1 - TK'!$A$38:$F$82,4, FALSE),0)</f>
        <v>0</v>
      </c>
      <c r="AQ40" s="61">
        <f>IFERROR(VLOOKUP(AQ6,'M1 - TK'!$A$38:$F$82,4, FALSE),0)</f>
        <v>0</v>
      </c>
      <c r="AR40" s="186">
        <f>IFERROR(VLOOKUP(AR6,'M1 - TK'!$A$38:$F$82,4, FALSE),0)</f>
        <v>0</v>
      </c>
      <c r="AS40" s="42">
        <f t="shared" si="13"/>
        <v>0</v>
      </c>
      <c r="AU40" t="s">
        <v>557</v>
      </c>
      <c r="AY40" s="20" t="str">
        <f>Taimekasvatus!E77</f>
        <v>Kaaliumväetised</v>
      </c>
      <c r="AZ40" s="20" t="str">
        <f>Taimekasvatus!F77</f>
        <v>Väetise kogus (kg)</v>
      </c>
      <c r="BA40" s="20" t="str">
        <f>Taimekasvatus!G77</f>
        <v>Kaaliumi %</v>
      </c>
      <c r="BB40" t="str">
        <f>IFERROR(VLOOKUP(AY40,'EFid TK'!$A$38:$B$104,2,FALSE),"")</f>
        <v/>
      </c>
      <c r="BC40" t="str">
        <f>IFERROR(VLOOKUP(AY40,'EFid TK'!$A$38:$C$104,3,FALSE),"")</f>
        <v/>
      </c>
      <c r="BD40" s="445">
        <f>SUM(BD41:BD43)</f>
        <v>0</v>
      </c>
      <c r="BE40" t="s">
        <v>594</v>
      </c>
      <c r="BH40" s="6">
        <f>Loomakasvatus!C261</f>
        <v>0</v>
      </c>
      <c r="BI40">
        <f>Loomakasvatus!D261</f>
        <v>0</v>
      </c>
      <c r="BJ40">
        <f>Loomakasvatus!D261</f>
        <v>0</v>
      </c>
      <c r="BK40">
        <f>IFERROR(VLOOKUP(BH40,'EFid TK'!$B$4:$C$36,2,FALSE),0)</f>
        <v>0</v>
      </c>
      <c r="BL40">
        <f t="shared" si="9"/>
        <v>0</v>
      </c>
      <c r="BM40" s="11"/>
      <c r="BP40" s="20">
        <f>Loomakasvatus!C160</f>
        <v>0</v>
      </c>
      <c r="BQ40" t="e">
        <f>Loomakasvatus!#REF!</f>
        <v>#REF!</v>
      </c>
      <c r="BR40">
        <f>Loomakasvatus!D160</f>
        <v>0</v>
      </c>
      <c r="BS40">
        <f>IFERROR(VLOOKUP(BP40,'EFid TK'!$B$4:$C$36,2,FALSE),0)</f>
        <v>0</v>
      </c>
      <c r="BT40">
        <f t="shared" ref="BT40:BT41" si="63">IFERROR(BS40*BR40,0)</f>
        <v>0</v>
      </c>
      <c r="BU40" s="21"/>
      <c r="BW40" s="6">
        <f>Loomakasvatus!C444</f>
        <v>0</v>
      </c>
      <c r="BX40" t="e">
        <f>Loomakasvatus!#REF!</f>
        <v>#REF!</v>
      </c>
      <c r="BY40">
        <f>Loomakasvatus!D444</f>
        <v>0</v>
      </c>
      <c r="BZ40">
        <f>IFERROR(VLOOKUP(BW40,'EFid TK'!$B$4:$C$36,2,FALSE),0)</f>
        <v>0</v>
      </c>
      <c r="CA40">
        <f t="shared" si="11"/>
        <v>0</v>
      </c>
      <c r="CB40" s="11"/>
      <c r="CD40" s="20">
        <f>Loomakasvatus!C623</f>
        <v>0</v>
      </c>
      <c r="CE40" t="e">
        <f>Loomakasvatus!#REF!</f>
        <v>#REF!</v>
      </c>
      <c r="CF40">
        <f>Loomakasvatus!D623</f>
        <v>0</v>
      </c>
      <c r="CG40">
        <f>IFERROR(VLOOKUP(CD40,'EFid TK'!$B$4:$C$36,2,FALSE),0)</f>
        <v>0</v>
      </c>
      <c r="CH40">
        <f t="shared" si="12"/>
        <v>0</v>
      </c>
      <c r="CI40" s="21"/>
      <c r="CK40" s="20" t="str" cm="1">
        <f t="array" ref="CK40:CM44">Loomakasvatus!C543:E547</f>
        <v>Sööt, mille heitetegur on teada</v>
      </c>
      <c r="CL40" t="str">
        <v>Kogus (kg)</v>
      </c>
      <c r="CM40" t="str">
        <v>Heitetegur (kg CO2-ekv/kg)</v>
      </c>
      <c r="CN40" t="s">
        <v>517</v>
      </c>
      <c r="CO40" s="445">
        <f>SUM(CN41:CN44)</f>
        <v>0</v>
      </c>
      <c r="DJ40">
        <f>Tugitegevused!B54</f>
        <v>0</v>
      </c>
      <c r="DK40">
        <f>Tugitegevused!C54</f>
        <v>0</v>
      </c>
      <c r="DL40" t="str">
        <f>IFERROR(VLOOKUP(DJ40,EFid!$A$305:$B$340,2,FALSE),"0")</f>
        <v>0</v>
      </c>
      <c r="DM40">
        <f t="shared" si="59"/>
        <v>0</v>
      </c>
    </row>
    <row r="41" spans="1:124">
      <c r="B41" s="115" t="s">
        <v>595</v>
      </c>
      <c r="C41" t="s">
        <v>596</v>
      </c>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f>Taimekasvatus!AR23</f>
        <v>0</v>
      </c>
      <c r="AQ41" s="62">
        <f>Taimekasvatus!AS23</f>
        <v>0</v>
      </c>
      <c r="AR41" s="62">
        <f>Taimekasvatus!AT23</f>
        <v>0</v>
      </c>
      <c r="AS41" s="42">
        <f t="shared" si="13"/>
        <v>0</v>
      </c>
      <c r="AU41" t="s">
        <v>73</v>
      </c>
      <c r="AY41" s="20">
        <f>Taimekasvatus!E78</f>
        <v>0</v>
      </c>
      <c r="AZ41" s="20">
        <f>Taimekasvatus!F78</f>
        <v>0</v>
      </c>
      <c r="BA41" s="20">
        <f>Taimekasvatus!G78</f>
        <v>0</v>
      </c>
      <c r="BB41" t="str">
        <f>IFERROR(VLOOKUP(AY41,'EFid TK'!$A$38:$B$104,2,FALSE),"")</f>
        <v/>
      </c>
      <c r="BC41" t="str">
        <f>IFERROR(VLOOKUP(AY41,'EFid TK'!$A$38:$C$104,3,FALSE),"")</f>
        <v/>
      </c>
      <c r="BD41" s="21">
        <f>IFERROR(BA41/100*AZ41*BB41,0)</f>
        <v>0</v>
      </c>
      <c r="BE41">
        <f>BA41/100*AZ41</f>
        <v>0</v>
      </c>
      <c r="BF41" s="444">
        <f>SUM(BE41:BE43)</f>
        <v>0</v>
      </c>
      <c r="BH41" s="6">
        <f>Loomakasvatus!C262</f>
        <v>0</v>
      </c>
      <c r="BI41">
        <f>Loomakasvatus!D262</f>
        <v>0</v>
      </c>
      <c r="BJ41">
        <f>Loomakasvatus!D262</f>
        <v>0</v>
      </c>
      <c r="BK41">
        <f>IFERROR(VLOOKUP(BH41,'EFid TK'!$B$4:$C$36,2,FALSE),0)</f>
        <v>0</v>
      </c>
      <c r="BL41">
        <f t="shared" si="9"/>
        <v>0</v>
      </c>
      <c r="BM41" s="11"/>
      <c r="BP41" s="20">
        <f>Loomakasvatus!C161</f>
        <v>0</v>
      </c>
      <c r="BQ41" t="e">
        <f>Loomakasvatus!#REF!</f>
        <v>#REF!</v>
      </c>
      <c r="BR41">
        <f>Loomakasvatus!D161</f>
        <v>0</v>
      </c>
      <c r="BS41">
        <f>IFERROR(VLOOKUP(BP41,'EFid TK'!$B$4:$C$36,2,FALSE),0)</f>
        <v>0</v>
      </c>
      <c r="BT41">
        <f t="shared" si="63"/>
        <v>0</v>
      </c>
      <c r="BU41" s="21"/>
      <c r="BW41" s="6">
        <f>Loomakasvatus!C445</f>
        <v>0</v>
      </c>
      <c r="BX41" t="e">
        <f>Loomakasvatus!#REF!</f>
        <v>#REF!</v>
      </c>
      <c r="BY41">
        <f>Loomakasvatus!D445</f>
        <v>0</v>
      </c>
      <c r="BZ41">
        <f>IFERROR(VLOOKUP(BW41,'EFid TK'!$B$4:$C$36,2,FALSE),0)</f>
        <v>0</v>
      </c>
      <c r="CA41">
        <f t="shared" si="11"/>
        <v>0</v>
      </c>
      <c r="CB41" s="11"/>
      <c r="CD41" s="20">
        <f>Loomakasvatus!C624</f>
        <v>0</v>
      </c>
      <c r="CE41" t="e">
        <f>Loomakasvatus!#REF!</f>
        <v>#REF!</v>
      </c>
      <c r="CF41">
        <f>Loomakasvatus!D624</f>
        <v>0</v>
      </c>
      <c r="CG41">
        <f>IFERROR(VLOOKUP(CD41,'EFid TK'!$B$4:$C$36,2,FALSE),0)</f>
        <v>0</v>
      </c>
      <c r="CH41">
        <f t="shared" si="12"/>
        <v>0</v>
      </c>
      <c r="CI41" s="21"/>
      <c r="CK41" s="20">
        <v>0</v>
      </c>
      <c r="CL41">
        <v>0</v>
      </c>
      <c r="CM41">
        <v>0</v>
      </c>
      <c r="CN41">
        <f>CL41*CM41</f>
        <v>0</v>
      </c>
      <c r="CO41" s="21"/>
      <c r="DJ41">
        <f>Tugitegevused!B55</f>
        <v>0</v>
      </c>
      <c r="DK41">
        <f>Tugitegevused!C55</f>
        <v>0</v>
      </c>
      <c r="DL41" t="str">
        <f>IFERROR(VLOOKUP(DJ41,EFid!$A$305:$B$340,2,FALSE),"0")</f>
        <v>0</v>
      </c>
      <c r="DM41">
        <f t="shared" si="59"/>
        <v>0</v>
      </c>
    </row>
    <row r="42" spans="1:124">
      <c r="B42" s="409" t="s">
        <v>597</v>
      </c>
      <c r="C42" t="s">
        <v>598</v>
      </c>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f>IFERROR(VLOOKUP(AP6,'M1 - TK'!$A$38:$F$82,5, FALSE),0)</f>
        <v>0</v>
      </c>
      <c r="AQ42" s="61">
        <f>IFERROR(VLOOKUP(AQ6,'M1 - TK'!$A$38:$F$82,5, FALSE),0)</f>
        <v>0</v>
      </c>
      <c r="AR42" s="186">
        <f>IFERROR(VLOOKUP(AR6,'M1 - TK'!$A$38:$F$82,5, FALSE),0)</f>
        <v>0</v>
      </c>
      <c r="AS42" s="42">
        <f t="shared" si="13"/>
        <v>0</v>
      </c>
      <c r="AU42" t="s">
        <v>557</v>
      </c>
      <c r="AY42" s="20">
        <f>Taimekasvatus!E79</f>
        <v>0</v>
      </c>
      <c r="AZ42" s="20">
        <f>Taimekasvatus!F79</f>
        <v>0</v>
      </c>
      <c r="BA42" s="20">
        <f>Taimekasvatus!G79</f>
        <v>0</v>
      </c>
      <c r="BB42" t="str">
        <f>IFERROR(VLOOKUP(AY42,'EFid TK'!$A$38:$B$104,2,FALSE),"")</f>
        <v/>
      </c>
      <c r="BC42" t="str">
        <f>IFERROR(VLOOKUP(AY42,'EFid TK'!$A$38:$C$104,3,FALSE),"")</f>
        <v/>
      </c>
      <c r="BD42" s="21">
        <f t="shared" ref="BD42:BD43" si="64">IFERROR(BA42/100*AZ42*BB42,0)</f>
        <v>0</v>
      </c>
      <c r="BE42">
        <f>BA42/100*AZ42</f>
        <v>0</v>
      </c>
      <c r="BH42" s="6">
        <f>Loomakasvatus!C263</f>
        <v>0</v>
      </c>
      <c r="BI42">
        <f>Loomakasvatus!D263</f>
        <v>0</v>
      </c>
      <c r="BJ42">
        <f>Loomakasvatus!D263</f>
        <v>0</v>
      </c>
      <c r="BK42">
        <f>IFERROR(VLOOKUP(BH42,'EFid TK'!$B$4:$C$36,2,FALSE),0)</f>
        <v>0</v>
      </c>
      <c r="BL42">
        <f t="shared" si="9"/>
        <v>0</v>
      </c>
      <c r="BM42" s="11"/>
      <c r="BP42" s="20">
        <f>Loomakasvatus!C162</f>
        <v>0</v>
      </c>
      <c r="BQ42" t="e">
        <f>Loomakasvatus!#REF!</f>
        <v>#REF!</v>
      </c>
      <c r="BR42">
        <f>Loomakasvatus!D162</f>
        <v>0</v>
      </c>
      <c r="BS42">
        <f>IFERROR(VLOOKUP(BP42,'EFid TK'!$B$4:$C$36,2,FALSE),0)</f>
        <v>0</v>
      </c>
      <c r="BT42">
        <f>IFERROR(BS42*BR42,0)</f>
        <v>0</v>
      </c>
      <c r="BU42" s="21"/>
      <c r="BW42" s="6">
        <f>Loomakasvatus!C446</f>
        <v>0</v>
      </c>
      <c r="BX42" t="e">
        <f>Loomakasvatus!#REF!</f>
        <v>#REF!</v>
      </c>
      <c r="BY42">
        <f>Loomakasvatus!D446</f>
        <v>0</v>
      </c>
      <c r="BZ42">
        <f>IFERROR(VLOOKUP(BW42,'EFid TK'!$B$4:$C$36,2,FALSE),0)</f>
        <v>0</v>
      </c>
      <c r="CA42">
        <f t="shared" si="11"/>
        <v>0</v>
      </c>
      <c r="CB42" s="11"/>
      <c r="CD42" s="20">
        <f>Loomakasvatus!C625</f>
        <v>0</v>
      </c>
      <c r="CE42" t="e">
        <f>Loomakasvatus!#REF!</f>
        <v>#REF!</v>
      </c>
      <c r="CF42">
        <f>Loomakasvatus!D625</f>
        <v>0</v>
      </c>
      <c r="CG42">
        <f>IFERROR(VLOOKUP(CD42,'EFid TK'!$B$4:$C$36,2,FALSE),0)</f>
        <v>0</v>
      </c>
      <c r="CH42">
        <f t="shared" ref="CH42:CH46" si="65">CG42*CF42</f>
        <v>0</v>
      </c>
      <c r="CI42" s="21"/>
      <c r="CK42" s="20">
        <v>0</v>
      </c>
      <c r="CL42">
        <v>0</v>
      </c>
      <c r="CM42">
        <v>0</v>
      </c>
      <c r="CN42">
        <f t="shared" ref="CN42:CN44" si="66">CL42*CM42</f>
        <v>0</v>
      </c>
      <c r="CO42" s="21"/>
      <c r="DJ42">
        <f>Tugitegevused!B56</f>
        <v>0</v>
      </c>
      <c r="DK42">
        <f>Tugitegevused!C56</f>
        <v>0</v>
      </c>
      <c r="DL42" t="str">
        <f>IFERROR(VLOOKUP(DJ42,EFid!$A$305:$B$340,2,FALSE),"0")</f>
        <v>0</v>
      </c>
      <c r="DM42">
        <f t="shared" si="59"/>
        <v>0</v>
      </c>
    </row>
    <row r="43" spans="1:124">
      <c r="B43" s="409" t="s">
        <v>599</v>
      </c>
      <c r="C43" t="s">
        <v>600</v>
      </c>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f>IFERROR(VLOOKUP(AP6,'M1 - TK'!$A$38:$F$82,6, FALSE),0)</f>
        <v>0</v>
      </c>
      <c r="AQ43" s="61">
        <f>IFERROR(VLOOKUP(AQ6,'M1 - TK'!$A$38:$F$82,6, FALSE),0)</f>
        <v>0</v>
      </c>
      <c r="AR43" s="186">
        <f>IFERROR(VLOOKUP(AR6,'M1 - TK'!$A$38:$F$82,6, FALSE),0)</f>
        <v>0</v>
      </c>
      <c r="AS43" s="42">
        <f t="shared" si="13"/>
        <v>0</v>
      </c>
      <c r="AU43" t="s">
        <v>557</v>
      </c>
      <c r="AY43" s="20">
        <f>Taimekasvatus!E80</f>
        <v>0</v>
      </c>
      <c r="AZ43" s="20">
        <f>Taimekasvatus!F80</f>
        <v>0</v>
      </c>
      <c r="BA43" s="20">
        <f>Taimekasvatus!G80</f>
        <v>0</v>
      </c>
      <c r="BB43" t="str">
        <f>IFERROR(VLOOKUP(AY43,'EFid TK'!$A$38:$B$104,2,FALSE),"")</f>
        <v/>
      </c>
      <c r="BC43" t="str">
        <f>IFERROR(VLOOKUP(AY43,'EFid TK'!$A$38:$C$104,3,FALSE),"")</f>
        <v/>
      </c>
      <c r="BD43" s="21">
        <f t="shared" si="64"/>
        <v>0</v>
      </c>
      <c r="BE43">
        <f>BA43/100*AZ43</f>
        <v>0</v>
      </c>
      <c r="BH43" s="6">
        <f>Loomakasvatus!C264</f>
        <v>0</v>
      </c>
      <c r="BI43">
        <f>Loomakasvatus!D264</f>
        <v>0</v>
      </c>
      <c r="BJ43">
        <f>Loomakasvatus!D264</f>
        <v>0</v>
      </c>
      <c r="BK43">
        <f>IFERROR(VLOOKUP(BH43,'EFid TK'!$B$4:$C$36,2,FALSE),0)</f>
        <v>0</v>
      </c>
      <c r="BL43">
        <f>BK43*BJ43</f>
        <v>0</v>
      </c>
      <c r="BM43" s="11"/>
      <c r="BP43" s="20">
        <f>Loomakasvatus!C163</f>
        <v>0</v>
      </c>
      <c r="BQ43" t="e">
        <f>Loomakasvatus!#REF!</f>
        <v>#REF!</v>
      </c>
      <c r="BR43">
        <f>Loomakasvatus!D163</f>
        <v>0</v>
      </c>
      <c r="BS43">
        <f>IFERROR(VLOOKUP(BP43,'EFid TK'!$B$4:$C$36,2,FALSE),0)</f>
        <v>0</v>
      </c>
      <c r="BT43">
        <f t="shared" ref="BT43:BT53" si="67">IFERROR(BS43*BR43,0)</f>
        <v>0</v>
      </c>
      <c r="BU43" s="21"/>
      <c r="BW43" s="6">
        <f>Loomakasvatus!C447</f>
        <v>0</v>
      </c>
      <c r="BX43" t="e">
        <f>Loomakasvatus!#REF!</f>
        <v>#REF!</v>
      </c>
      <c r="BY43">
        <f>Loomakasvatus!D447</f>
        <v>0</v>
      </c>
      <c r="BZ43">
        <f>IFERROR(VLOOKUP(BW43,'EFid TK'!$B$4:$C$36,2,FALSE),0)</f>
        <v>0</v>
      </c>
      <c r="CA43">
        <f t="shared" si="11"/>
        <v>0</v>
      </c>
      <c r="CB43" s="11"/>
      <c r="CD43" s="20">
        <f>Loomakasvatus!C626</f>
        <v>0</v>
      </c>
      <c r="CE43" t="e">
        <f>Loomakasvatus!#REF!</f>
        <v>#REF!</v>
      </c>
      <c r="CF43">
        <f>Loomakasvatus!D626</f>
        <v>0</v>
      </c>
      <c r="CG43">
        <f>IFERROR(VLOOKUP(CD43,'EFid TK'!$B$4:$C$36,2,FALSE),0)</f>
        <v>0</v>
      </c>
      <c r="CH43">
        <f t="shared" si="65"/>
        <v>0</v>
      </c>
      <c r="CI43" s="21"/>
      <c r="CK43" s="20">
        <v>0</v>
      </c>
      <c r="CL43">
        <v>0</v>
      </c>
      <c r="CM43">
        <v>0</v>
      </c>
      <c r="CN43">
        <f t="shared" si="66"/>
        <v>0</v>
      </c>
      <c r="CO43" s="21"/>
      <c r="DJ43">
        <f>Tugitegevused!B57</f>
        <v>0</v>
      </c>
      <c r="DK43">
        <f>Tugitegevused!C57</f>
        <v>0</v>
      </c>
      <c r="DL43" t="str">
        <f>IFERROR(VLOOKUP(DJ43,EFid!$A$305:$B$340,2,FALSE),"0")</f>
        <v>0</v>
      </c>
      <c r="DM43">
        <f t="shared" si="59"/>
        <v>0</v>
      </c>
    </row>
    <row r="44" spans="1:124" ht="15" thickBot="1">
      <c r="B44" s="410" t="s">
        <v>601</v>
      </c>
      <c r="C44" s="36" t="s">
        <v>602</v>
      </c>
      <c r="D44" s="36"/>
      <c r="E44" s="406"/>
      <c r="F44" s="406"/>
      <c r="G44" s="406"/>
      <c r="H44" s="406"/>
      <c r="I44" s="406"/>
      <c r="J44" s="406"/>
      <c r="K44" s="406"/>
      <c r="L44" s="406"/>
      <c r="M44" s="406"/>
      <c r="N44" s="406"/>
      <c r="O44" s="406"/>
      <c r="P44" s="406"/>
      <c r="Q44" s="406"/>
      <c r="R44" s="406"/>
      <c r="S44" s="406"/>
      <c r="T44" s="406"/>
      <c r="U44" s="406"/>
      <c r="V44" s="406"/>
      <c r="W44" s="406"/>
      <c r="X44" s="406"/>
      <c r="Y44" s="406"/>
      <c r="Z44" s="406"/>
      <c r="AA44" s="406"/>
      <c r="AB44" s="406"/>
      <c r="AC44" s="406"/>
      <c r="AD44" s="406"/>
      <c r="AE44" s="406"/>
      <c r="AF44" s="406"/>
      <c r="AG44" s="406"/>
      <c r="AH44" s="406"/>
      <c r="AI44" s="406"/>
      <c r="AJ44" s="406"/>
      <c r="AK44" s="406"/>
      <c r="AL44" s="406"/>
      <c r="AM44" s="406"/>
      <c r="AN44" s="406"/>
      <c r="AO44" s="406"/>
      <c r="AP44" s="406"/>
      <c r="AQ44" s="406"/>
      <c r="AR44" s="407"/>
      <c r="AS44" s="42">
        <f t="shared" si="13"/>
        <v>0</v>
      </c>
      <c r="AU44" s="8" t="s">
        <v>603</v>
      </c>
      <c r="AY44" s="20" t="str">
        <f>Taimekasvatus!E81</f>
        <v>Muud väetised</v>
      </c>
      <c r="AZ44" s="20" t="str">
        <f>Taimekasvatus!F81</f>
        <v>Väetise kogus (kg)</v>
      </c>
      <c r="BA44" s="20" t="str">
        <f>Taimekasvatus!G81</f>
        <v>Keemilise aine %</v>
      </c>
      <c r="BC44" t="str">
        <f>IFERROR(VLOOKUP(AY44,'EFid TK'!$A$38:$C$104,3,FALSE),"")</f>
        <v/>
      </c>
      <c r="BD44" s="448">
        <f>SUM(BD45:BD52)</f>
        <v>0</v>
      </c>
      <c r="BE44" t="s">
        <v>604</v>
      </c>
      <c r="BH44" s="6">
        <f>Loomakasvatus!C265</f>
        <v>0</v>
      </c>
      <c r="BI44">
        <f>Loomakasvatus!D265</f>
        <v>0</v>
      </c>
      <c r="BJ44">
        <f>Loomakasvatus!D265</f>
        <v>0</v>
      </c>
      <c r="BK44">
        <f>IFERROR(VLOOKUP(BH44,'EFid TK'!$B$4:$C$36,2,FALSE),0)</f>
        <v>0</v>
      </c>
      <c r="BL44">
        <f>BK44*BJ44</f>
        <v>0</v>
      </c>
      <c r="BM44" s="11"/>
      <c r="BP44" s="20">
        <f>Loomakasvatus!C164</f>
        <v>0</v>
      </c>
      <c r="BQ44" t="e">
        <f>Loomakasvatus!#REF!</f>
        <v>#REF!</v>
      </c>
      <c r="BR44">
        <f>Loomakasvatus!D164</f>
        <v>0</v>
      </c>
      <c r="BS44">
        <f>IFERROR(VLOOKUP(BP44,'EFid TK'!$B$4:$C$36,2,FALSE),0)</f>
        <v>0</v>
      </c>
      <c r="BT44">
        <f t="shared" si="67"/>
        <v>0</v>
      </c>
      <c r="BU44" s="21"/>
      <c r="BW44" s="6">
        <f>Loomakasvatus!C448</f>
        <v>0</v>
      </c>
      <c r="BX44" t="e">
        <f>Loomakasvatus!#REF!</f>
        <v>#REF!</v>
      </c>
      <c r="BY44">
        <f>Loomakasvatus!D448</f>
        <v>0</v>
      </c>
      <c r="BZ44">
        <f>IFERROR(VLOOKUP(BW44,'EFid TK'!$B$4:$C$36,2,FALSE),0)</f>
        <v>0</v>
      </c>
      <c r="CA44">
        <f t="shared" si="11"/>
        <v>0</v>
      </c>
      <c r="CB44" s="11"/>
      <c r="CD44" s="20">
        <f>Loomakasvatus!C627</f>
        <v>0</v>
      </c>
      <c r="CE44" t="e">
        <f>Loomakasvatus!#REF!</f>
        <v>#REF!</v>
      </c>
      <c r="CF44">
        <f>Loomakasvatus!D627</f>
        <v>0</v>
      </c>
      <c r="CG44">
        <f>IFERROR(VLOOKUP(CD44,'EFid TK'!$B$4:$C$36,2,FALSE),0)</f>
        <v>0</v>
      </c>
      <c r="CH44">
        <f t="shared" si="65"/>
        <v>0</v>
      </c>
      <c r="CI44" s="21"/>
      <c r="CK44" s="20">
        <v>0</v>
      </c>
      <c r="CL44">
        <v>0</v>
      </c>
      <c r="CM44">
        <v>0</v>
      </c>
      <c r="CN44">
        <f t="shared" si="66"/>
        <v>0</v>
      </c>
      <c r="CO44" s="21"/>
      <c r="DJ44">
        <f>Tugitegevused!B58</f>
        <v>0</v>
      </c>
      <c r="DK44">
        <f>Tugitegevused!C58</f>
        <v>0</v>
      </c>
      <c r="DL44" t="str">
        <f>IFERROR(VLOOKUP(DJ44,EFid!$A$305:$B$340,2,FALSE),"0")</f>
        <v>0</v>
      </c>
      <c r="DM44">
        <f t="shared" si="59"/>
        <v>0</v>
      </c>
    </row>
    <row r="45" spans="1:124">
      <c r="B45" s="122"/>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42">
        <f t="shared" si="13"/>
        <v>0</v>
      </c>
      <c r="AY45" s="20">
        <f>Taimekasvatus!E82</f>
        <v>0</v>
      </c>
      <c r="AZ45" s="20">
        <f>Taimekasvatus!F82</f>
        <v>0</v>
      </c>
      <c r="BA45" s="20">
        <f>Taimekasvatus!G82</f>
        <v>0</v>
      </c>
      <c r="BB45" t="str">
        <f>IFERROR(VLOOKUP(AY45,'EFid TK'!$A$38:$B$104,2,FALSE),"")</f>
        <v/>
      </c>
      <c r="BC45" t="str">
        <f>IFERROR(VLOOKUP(AY45,'EFid TK'!$A$38:$C$104,3,FALSE),"")</f>
        <v/>
      </c>
      <c r="BD45" s="21">
        <f>IFERROR(BA45/100*AZ45*BB45,0)</f>
        <v>0</v>
      </c>
      <c r="BE45">
        <f>BA45/100*AZ45</f>
        <v>0</v>
      </c>
      <c r="BF45" s="444">
        <f>SUM(BE45:BE47)</f>
        <v>0</v>
      </c>
      <c r="BH45" s="6">
        <f>Loomakasvatus!C266</f>
        <v>0</v>
      </c>
      <c r="BI45">
        <f>Loomakasvatus!D266</f>
        <v>0</v>
      </c>
      <c r="BJ45">
        <f>Loomakasvatus!D266</f>
        <v>0</v>
      </c>
      <c r="BK45">
        <f>IFERROR(VLOOKUP(BH45,'EFid TK'!$B$4:$C$36,2,FALSE),0)</f>
        <v>0</v>
      </c>
      <c r="BL45">
        <f>BK45*BJ45</f>
        <v>0</v>
      </c>
      <c r="BM45" s="11"/>
      <c r="BP45" s="20">
        <f>Loomakasvatus!C165</f>
        <v>0</v>
      </c>
      <c r="BQ45" t="e">
        <f>Loomakasvatus!#REF!</f>
        <v>#REF!</v>
      </c>
      <c r="BR45">
        <f>Loomakasvatus!D165</f>
        <v>0</v>
      </c>
      <c r="BS45">
        <f>IFERROR(VLOOKUP(BP45,'EFid TK'!$B$4:$C$36,2,FALSE),0)</f>
        <v>0</v>
      </c>
      <c r="BT45">
        <f t="shared" si="67"/>
        <v>0</v>
      </c>
      <c r="BU45" s="21"/>
      <c r="BW45" s="6">
        <f>Loomakasvatus!C449</f>
        <v>0</v>
      </c>
      <c r="BX45" t="e">
        <f>Loomakasvatus!#REF!</f>
        <v>#REF!</v>
      </c>
      <c r="BY45">
        <f>Loomakasvatus!D449</f>
        <v>0</v>
      </c>
      <c r="BZ45">
        <f>IFERROR(VLOOKUP(BW45,'EFid TK'!$B$4:$C$36,2,FALSE),0)</f>
        <v>0</v>
      </c>
      <c r="CA45">
        <f t="shared" si="11"/>
        <v>0</v>
      </c>
      <c r="CB45" s="11"/>
      <c r="CD45" s="20">
        <f>Loomakasvatus!C628</f>
        <v>0</v>
      </c>
      <c r="CE45" t="e">
        <f>Loomakasvatus!#REF!</f>
        <v>#REF!</v>
      </c>
      <c r="CF45">
        <f>Loomakasvatus!D628</f>
        <v>0</v>
      </c>
      <c r="CG45">
        <f>IFERROR(VLOOKUP(CD45,'EFid TK'!$B$4:$C$36,2,FALSE),0)</f>
        <v>0</v>
      </c>
      <c r="CH45">
        <f t="shared" si="65"/>
        <v>0</v>
      </c>
      <c r="CI45" s="21"/>
      <c r="CK45" s="20"/>
      <c r="CO45" s="21"/>
      <c r="DJ45">
        <f>Tugitegevused!B59</f>
        <v>0</v>
      </c>
      <c r="DK45">
        <f>Tugitegevused!C59</f>
        <v>0</v>
      </c>
      <c r="DL45" t="str">
        <f>IFERROR(VLOOKUP(DJ45,EFid!$A$305:$B$340,2,FALSE),"0")</f>
        <v>0</v>
      </c>
      <c r="DM45">
        <f t="shared" si="59"/>
        <v>0</v>
      </c>
    </row>
    <row r="46" spans="1:124" ht="15" thickBot="1">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42">
        <f t="shared" si="13"/>
        <v>0</v>
      </c>
      <c r="AY46" s="20">
        <f>Taimekasvatus!E83</f>
        <v>0</v>
      </c>
      <c r="AZ46" s="20">
        <f>Taimekasvatus!F83</f>
        <v>0</v>
      </c>
      <c r="BA46" s="20">
        <f>Taimekasvatus!G83</f>
        <v>0</v>
      </c>
      <c r="BB46" t="str">
        <f>IFERROR(VLOOKUP(AY46,'EFid TK'!$A$38:$B$104,2,FALSE),"")</f>
        <v/>
      </c>
      <c r="BC46" t="str">
        <f>IFERROR(VLOOKUP(AY46,'EFid TK'!$A$38:$C$104,3,FALSE),"")</f>
        <v/>
      </c>
      <c r="BD46" s="21">
        <f t="shared" ref="BD46:BD47" si="68">IFERROR(BA46/100*AZ46*BB46,0)</f>
        <v>0</v>
      </c>
      <c r="BE46">
        <f>BA46/100*AZ46</f>
        <v>0</v>
      </c>
      <c r="BH46" s="7">
        <f>Loomakasvatus!C267</f>
        <v>0</v>
      </c>
      <c r="BI46" s="8">
        <f>Loomakasvatus!D267</f>
        <v>0</v>
      </c>
      <c r="BJ46" s="8">
        <f>Loomakasvatus!D267</f>
        <v>0</v>
      </c>
      <c r="BK46" s="8">
        <f>IFERROR(VLOOKUP(BH46,'EFid TK'!$B$4:$C$36,2,FALSE),0)</f>
        <v>0</v>
      </c>
      <c r="BL46" s="8">
        <f>BK46*BJ46</f>
        <v>0</v>
      </c>
      <c r="BM46" s="41"/>
      <c r="BP46" s="20">
        <f>Loomakasvatus!C166</f>
        <v>0</v>
      </c>
      <c r="BQ46" t="e">
        <f>Loomakasvatus!#REF!</f>
        <v>#REF!</v>
      </c>
      <c r="BR46">
        <f>Loomakasvatus!D166</f>
        <v>0</v>
      </c>
      <c r="BS46">
        <f>IFERROR(VLOOKUP(BP46,'EFid TK'!$B$4:$C$36,2,FALSE),0)</f>
        <v>0</v>
      </c>
      <c r="BT46">
        <f t="shared" si="67"/>
        <v>0</v>
      </c>
      <c r="BU46" s="21"/>
      <c r="BW46" s="6">
        <f>Loomakasvatus!C450</f>
        <v>0</v>
      </c>
      <c r="BX46" t="e">
        <f>Loomakasvatus!#REF!</f>
        <v>#REF!</v>
      </c>
      <c r="BY46">
        <f>Loomakasvatus!D450</f>
        <v>0</v>
      </c>
      <c r="BZ46">
        <f>IFERROR(VLOOKUP(BW46,'EFid TK'!$B$4:$C$36,2,FALSE),0)</f>
        <v>0</v>
      </c>
      <c r="CA46">
        <f t="shared" ref="CA46:CA50" si="69">BZ46*BY46</f>
        <v>0</v>
      </c>
      <c r="CB46" s="11"/>
      <c r="CD46" s="58">
        <f>Loomakasvatus!C629</f>
        <v>0</v>
      </c>
      <c r="CE46" s="36" t="e">
        <f>Loomakasvatus!#REF!</f>
        <v>#REF!</v>
      </c>
      <c r="CF46" s="36">
        <f>Loomakasvatus!D629</f>
        <v>0</v>
      </c>
      <c r="CG46" s="36">
        <f>IFERROR(VLOOKUP(CD46,'EFid TK'!$B$4:$C$36,2,FALSE),0)</f>
        <v>0</v>
      </c>
      <c r="CH46" s="36">
        <f t="shared" si="65"/>
        <v>0</v>
      </c>
      <c r="CI46" s="37"/>
      <c r="CK46" s="80" t="s">
        <v>183</v>
      </c>
      <c r="CO46" s="21"/>
      <c r="DJ46">
        <f>Tugitegevused!B60</f>
        <v>0</v>
      </c>
      <c r="DK46">
        <f>Tugitegevused!C60</f>
        <v>0</v>
      </c>
      <c r="DL46" t="str">
        <f>IFERROR(VLOOKUP(DJ46,EFid!$A$305:$B$340,2,FALSE),"0")</f>
        <v>0</v>
      </c>
      <c r="DM46">
        <f t="shared" si="59"/>
        <v>0</v>
      </c>
    </row>
    <row r="47" spans="1:124" ht="15" thickBot="1">
      <c r="A47" s="1" t="s">
        <v>605</v>
      </c>
      <c r="B47" s="127" t="s">
        <v>606</v>
      </c>
      <c r="C47" s="178"/>
      <c r="D47" s="178"/>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42">
        <f>E49</f>
        <v>0</v>
      </c>
      <c r="AT47" s="1" t="s">
        <v>605</v>
      </c>
      <c r="AY47" s="20">
        <f>Taimekasvatus!E89</f>
        <v>0</v>
      </c>
      <c r="AZ47" s="20">
        <f>Taimekasvatus!F89</f>
        <v>0</v>
      </c>
      <c r="BA47" s="20">
        <f>Taimekasvatus!G89</f>
        <v>0</v>
      </c>
      <c r="BB47" t="str">
        <f>IFERROR(VLOOKUP(AY47,'EFid TK'!$A$38:$B$104,2,FALSE),"")</f>
        <v/>
      </c>
      <c r="BC47" t="str">
        <f>IFERROR(VLOOKUP(AY47,'EFid TK'!$A$38:$C$104,3,FALSE),"")</f>
        <v/>
      </c>
      <c r="BD47" s="21">
        <f t="shared" si="68"/>
        <v>0</v>
      </c>
      <c r="BE47">
        <f>BA47/100*AZ47</f>
        <v>0</v>
      </c>
      <c r="BH47" s="80" t="s">
        <v>179</v>
      </c>
      <c r="BK47" t="s">
        <v>516</v>
      </c>
      <c r="BL47" t="s">
        <v>514</v>
      </c>
      <c r="BM47" s="21"/>
      <c r="BP47" s="20">
        <f>Loomakasvatus!C167</f>
        <v>0</v>
      </c>
      <c r="BQ47" t="e">
        <f>Loomakasvatus!#REF!</f>
        <v>#REF!</v>
      </c>
      <c r="BR47">
        <f>Loomakasvatus!D167</f>
        <v>0</v>
      </c>
      <c r="BS47">
        <f>IFERROR(VLOOKUP(BP47,'EFid TK'!$B$4:$C$36,2,FALSE),0)</f>
        <v>0</v>
      </c>
      <c r="BT47">
        <f t="shared" si="67"/>
        <v>0</v>
      </c>
      <c r="BU47" s="21"/>
      <c r="BW47" s="6">
        <f>Loomakasvatus!C451</f>
        <v>0</v>
      </c>
      <c r="BX47" t="e">
        <f>Loomakasvatus!#REF!</f>
        <v>#REF!</v>
      </c>
      <c r="BY47">
        <f>Loomakasvatus!D451</f>
        <v>0</v>
      </c>
      <c r="BZ47">
        <f>IFERROR(VLOOKUP(BW47,'EFid TK'!$B$4:$C$36,2,FALSE),0)</f>
        <v>0</v>
      </c>
      <c r="CA47">
        <f t="shared" si="69"/>
        <v>0</v>
      </c>
      <c r="CB47" s="11"/>
      <c r="CK47" s="20" t="str" cm="1">
        <f t="array" ref="CK47:CM51">Loomakasvatus!C630:E634</f>
        <v>Sööt, mille heitetegur on teada</v>
      </c>
      <c r="CL47" t="str">
        <v>Kogus (kg)</v>
      </c>
      <c r="CM47" t="str">
        <v>Heitetegur (kg CO2-ekv/kg)</v>
      </c>
      <c r="CN47" t="s">
        <v>517</v>
      </c>
      <c r="CO47" s="445">
        <f>SUM(CN48:CN51)</f>
        <v>0</v>
      </c>
      <c r="DJ47">
        <f>Tugitegevused!B61</f>
        <v>0</v>
      </c>
      <c r="DK47">
        <f>Tugitegevused!C61</f>
        <v>0</v>
      </c>
      <c r="DL47" t="str">
        <f>IFERROR(VLOOKUP(DJ47,EFid!$A$305:$B$340,2,FALSE),"0")</f>
        <v>0</v>
      </c>
      <c r="DM47">
        <f t="shared" si="59"/>
        <v>0</v>
      </c>
    </row>
    <row r="48" spans="1:124">
      <c r="A48" s="1"/>
      <c r="B48" s="349"/>
      <c r="C48" s="189"/>
      <c r="D48" s="189"/>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42"/>
      <c r="AT48" s="1"/>
      <c r="AY48" s="15" t="str">
        <f>Taimekasvatus!E85</f>
        <v>Väetised, mille toote süsiniku jalajälg on teada</v>
      </c>
      <c r="AZ48" s="16" t="str">
        <f>Taimekasvatus!F85</f>
        <v>Kogus (kg)</v>
      </c>
      <c r="BA48" s="16" t="str">
        <f>Taimekasvatus!G85</f>
        <v>Heitetegur (kg CO2-ekv/kg)</v>
      </c>
      <c r="BB48" s="16"/>
      <c r="BC48" s="16"/>
      <c r="BD48" s="17"/>
      <c r="BH48" s="20" t="s">
        <v>306</v>
      </c>
      <c r="BI48">
        <f>Loomakasvatus!C322</f>
        <v>0</v>
      </c>
      <c r="BJ48">
        <f>Loomakasvatus!D322</f>
        <v>0</v>
      </c>
      <c r="BK48" t="str">
        <f>IFERROR(VLOOKUP(BI48,EFid!$A$50:$B$73,2,FALSE),"0")</f>
        <v>0</v>
      </c>
      <c r="BL48">
        <f>BJ48*BK48</f>
        <v>0</v>
      </c>
      <c r="BM48" s="445">
        <f>SUM(BL48:BL50)</f>
        <v>0</v>
      </c>
      <c r="BP48" s="20">
        <f>Loomakasvatus!C168</f>
        <v>0</v>
      </c>
      <c r="BR48">
        <f>Loomakasvatus!D168</f>
        <v>0</v>
      </c>
      <c r="BS48">
        <f>IFERROR(VLOOKUP(BP48,'EFid TK'!$B$4:$C$36,2,FALSE),0)</f>
        <v>0</v>
      </c>
      <c r="BT48">
        <f t="shared" si="67"/>
        <v>0</v>
      </c>
      <c r="BU48" s="21"/>
      <c r="BW48" s="6">
        <f>Loomakasvatus!C452</f>
        <v>0</v>
      </c>
      <c r="BX48" t="e">
        <f>Loomakasvatus!#REF!</f>
        <v>#REF!</v>
      </c>
      <c r="BY48">
        <f>Loomakasvatus!D452</f>
        <v>0</v>
      </c>
      <c r="BZ48">
        <f>IFERROR(VLOOKUP(BW48,'EFid TK'!$B$4:$C$36,2,FALSE),0)</f>
        <v>0</v>
      </c>
      <c r="CB48" s="11"/>
      <c r="CK48" s="20">
        <v>0</v>
      </c>
      <c r="CL48">
        <v>0</v>
      </c>
      <c r="CM48">
        <v>0</v>
      </c>
      <c r="CN48">
        <f>CL48*CM48</f>
        <v>0</v>
      </c>
      <c r="CO48" s="21"/>
      <c r="DJ48">
        <f>Tugitegevused!B62</f>
        <v>0</v>
      </c>
      <c r="DK48">
        <f>Tugitegevused!C62</f>
        <v>0</v>
      </c>
      <c r="DL48" t="str">
        <f>IFERROR(VLOOKUP(DJ48,EFid!$A$305:$B$340,2,FALSE),"0")</f>
        <v>0</v>
      </c>
      <c r="DM48">
        <f t="shared" si="59"/>
        <v>0</v>
      </c>
    </row>
    <row r="49" spans="1:118">
      <c r="B49" s="6" t="s">
        <v>607</v>
      </c>
      <c r="C49" t="s">
        <v>608</v>
      </c>
      <c r="D49" s="129"/>
      <c r="E49" s="442">
        <f>(E50*E51)+(E52*E53)</f>
        <v>0</v>
      </c>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42">
        <f>E49</f>
        <v>0</v>
      </c>
      <c r="AU49" t="s">
        <v>609</v>
      </c>
      <c r="AY49" s="20">
        <f>Taimekasvatus!E86</f>
        <v>0</v>
      </c>
      <c r="AZ49">
        <f>Taimekasvatus!F86</f>
        <v>0</v>
      </c>
      <c r="BA49">
        <f>Taimekasvatus!G86</f>
        <v>0</v>
      </c>
      <c r="BD49" s="21">
        <f>AZ49*BA49</f>
        <v>0</v>
      </c>
      <c r="BH49" s="20" t="s">
        <v>307</v>
      </c>
      <c r="BI49">
        <f>Loomakasvatus!C323</f>
        <v>0</v>
      </c>
      <c r="BJ49">
        <f>Loomakasvatus!D323</f>
        <v>0</v>
      </c>
      <c r="BK49" t="str">
        <f>IFERROR(VLOOKUP(BI49,EFid!$A$50:$B$73,2,FALSE),"0")</f>
        <v>0</v>
      </c>
      <c r="BL49">
        <f t="shared" ref="BL49:BL50" si="70">BJ49*BK49</f>
        <v>0</v>
      </c>
      <c r="BM49" s="21"/>
      <c r="BP49" s="20">
        <f>Loomakasvatus!C169</f>
        <v>0</v>
      </c>
      <c r="BQ49" t="e">
        <f>Loomakasvatus!#REF!</f>
        <v>#REF!</v>
      </c>
      <c r="BR49">
        <f>Loomakasvatus!D169</f>
        <v>0</v>
      </c>
      <c r="BS49">
        <f>IFERROR(VLOOKUP(BP49,'EFid TK'!$B$4:$C$36,2,FALSE),0)</f>
        <v>0</v>
      </c>
      <c r="BT49">
        <f t="shared" si="67"/>
        <v>0</v>
      </c>
      <c r="BU49" s="21"/>
      <c r="BW49" s="6">
        <f>Loomakasvatus!C453</f>
        <v>0</v>
      </c>
      <c r="BX49" t="e">
        <f>Loomakasvatus!#REF!</f>
        <v>#REF!</v>
      </c>
      <c r="BY49">
        <f>Loomakasvatus!D453</f>
        <v>0</v>
      </c>
      <c r="BZ49">
        <f>IFERROR(VLOOKUP(BW49,'EFid TK'!$B$4:$C$36,2,FALSE),0)</f>
        <v>0</v>
      </c>
      <c r="CA49">
        <f t="shared" si="69"/>
        <v>0</v>
      </c>
      <c r="CB49" s="11"/>
      <c r="CK49" s="20">
        <v>0</v>
      </c>
      <c r="CL49">
        <v>0</v>
      </c>
      <c r="CM49">
        <v>0</v>
      </c>
      <c r="CN49">
        <f t="shared" ref="CN49:CN51" si="71">CL49*CM49</f>
        <v>0</v>
      </c>
      <c r="CO49" s="21"/>
      <c r="DJ49">
        <f>Tugitegevused!B63</f>
        <v>0</v>
      </c>
      <c r="DK49">
        <f>Tugitegevused!C63</f>
        <v>0</v>
      </c>
      <c r="DL49" t="str">
        <f>IFERROR(VLOOKUP(DJ49,EFid!$A$305:$B$340,2,FALSE),"0")</f>
        <v>0</v>
      </c>
      <c r="DM49">
        <f t="shared" si="59"/>
        <v>0</v>
      </c>
    </row>
    <row r="50" spans="1:118">
      <c r="B50" s="47" t="s">
        <v>610</v>
      </c>
      <c r="C50" s="33" t="s">
        <v>511</v>
      </c>
      <c r="E50" s="62">
        <f>E2</f>
        <v>0</v>
      </c>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42">
        <f>SUM(E50:AR50)</f>
        <v>0</v>
      </c>
      <c r="AU50" t="s">
        <v>22</v>
      </c>
      <c r="AY50" s="20">
        <f>Taimekasvatus!E87</f>
        <v>0</v>
      </c>
      <c r="AZ50">
        <f>Taimekasvatus!F87</f>
        <v>0</v>
      </c>
      <c r="BA50">
        <f>Taimekasvatus!G87</f>
        <v>0</v>
      </c>
      <c r="BD50" s="21">
        <f t="shared" ref="BD50:BD52" si="72">AZ50*BA50</f>
        <v>0</v>
      </c>
      <c r="BH50" s="20" t="s">
        <v>308</v>
      </c>
      <c r="BI50">
        <f>Loomakasvatus!C324</f>
        <v>0</v>
      </c>
      <c r="BJ50">
        <f>Loomakasvatus!D324</f>
        <v>0</v>
      </c>
      <c r="BK50" t="str">
        <f>IFERROR(VLOOKUP(BI50,EFid!$A$50:$B$73,2,FALSE),"0")</f>
        <v>0</v>
      </c>
      <c r="BL50">
        <f t="shared" si="70"/>
        <v>0</v>
      </c>
      <c r="BM50" s="21"/>
      <c r="BP50" s="20">
        <f>Loomakasvatus!C170</f>
        <v>0</v>
      </c>
      <c r="BQ50" t="e">
        <f>Loomakasvatus!#REF!</f>
        <v>#REF!</v>
      </c>
      <c r="BR50">
        <f>Loomakasvatus!D170</f>
        <v>0</v>
      </c>
      <c r="BS50">
        <f>IFERROR(VLOOKUP(BP50,'EFid TK'!$B$4:$C$36,2,FALSE),0)</f>
        <v>0</v>
      </c>
      <c r="BT50">
        <f t="shared" si="67"/>
        <v>0</v>
      </c>
      <c r="BU50" s="21"/>
      <c r="BW50" s="6">
        <f>Loomakasvatus!C454</f>
        <v>0</v>
      </c>
      <c r="BX50" t="e">
        <f>Loomakasvatus!#REF!</f>
        <v>#REF!</v>
      </c>
      <c r="BY50">
        <f>Loomakasvatus!D454</f>
        <v>0</v>
      </c>
      <c r="BZ50">
        <f>IFERROR(VLOOKUP(BW50,'EFid TK'!$B$4:$C$36,2,FALSE),0)</f>
        <v>0</v>
      </c>
      <c r="CA50">
        <f t="shared" si="69"/>
        <v>0</v>
      </c>
      <c r="CB50" s="11"/>
      <c r="CD50" t="s">
        <v>611</v>
      </c>
      <c r="CE50" t="s">
        <v>612</v>
      </c>
      <c r="CK50" s="20">
        <v>0</v>
      </c>
      <c r="CL50">
        <v>0</v>
      </c>
      <c r="CM50">
        <v>0</v>
      </c>
      <c r="CN50">
        <f t="shared" si="71"/>
        <v>0</v>
      </c>
      <c r="CO50" s="21"/>
      <c r="DJ50">
        <f>Tugitegevused!B64</f>
        <v>0</v>
      </c>
      <c r="DK50">
        <f>Tugitegevused!C64</f>
        <v>0</v>
      </c>
      <c r="DL50" t="str">
        <f>IFERROR(VLOOKUP(DJ50,EFid!$A$305:$B$340,2,FALSE),"0")</f>
        <v>0</v>
      </c>
      <c r="DM50">
        <f t="shared" si="59"/>
        <v>0</v>
      </c>
    </row>
    <row r="51" spans="1:118" ht="15" thickBot="1">
      <c r="B51" s="6" t="s">
        <v>613</v>
      </c>
      <c r="C51" t="s">
        <v>614</v>
      </c>
      <c r="E51" s="61">
        <f>'M1 - TK'!$B$12</f>
        <v>8</v>
      </c>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42">
        <f>SUM(E51:AR51)</f>
        <v>8</v>
      </c>
      <c r="AU51" t="s">
        <v>615</v>
      </c>
      <c r="AY51" s="20">
        <f>Taimekasvatus!E88</f>
        <v>0</v>
      </c>
      <c r="AZ51">
        <f>Taimekasvatus!F88</f>
        <v>0</v>
      </c>
      <c r="BA51">
        <f>Taimekasvatus!G88</f>
        <v>0</v>
      </c>
      <c r="BD51" s="21">
        <f t="shared" si="72"/>
        <v>0</v>
      </c>
      <c r="BH51" s="20" t="str">
        <f>Loomakasvatus!B316</f>
        <v>Kasutatud soojusenergia liik 1</v>
      </c>
      <c r="BI51">
        <f>Loomakasvatus!C316</f>
        <v>0</v>
      </c>
      <c r="BJ51">
        <f>Loomakasvatus!D316</f>
        <v>0</v>
      </c>
      <c r="BK51">
        <f>IFERROR(VLOOKUP(BI51,EFid!$A$3:$D$31,2,FALSE),0)</f>
        <v>0</v>
      </c>
      <c r="BL51">
        <f t="shared" ref="BL51:BL90" si="73">BK51*BJ51</f>
        <v>0</v>
      </c>
      <c r="BM51" s="21">
        <f>SUM(BL51:BL53)</f>
        <v>0</v>
      </c>
      <c r="BP51" s="20">
        <f>Loomakasvatus!C171</f>
        <v>0</v>
      </c>
      <c r="BQ51" t="e">
        <f>Loomakasvatus!#REF!</f>
        <v>#REF!</v>
      </c>
      <c r="BR51">
        <f>Loomakasvatus!D171</f>
        <v>0</v>
      </c>
      <c r="BS51">
        <f>IFERROR(VLOOKUP(BP51,'EFid TK'!$B$4:$C$36,2,FALSE),0)</f>
        <v>0</v>
      </c>
      <c r="BT51">
        <f t="shared" si="67"/>
        <v>0</v>
      </c>
      <c r="BU51" s="21"/>
      <c r="BW51" s="7"/>
      <c r="BX51" s="8"/>
      <c r="BY51" s="8"/>
      <c r="BZ51" s="8"/>
      <c r="CA51" s="8"/>
      <c r="CB51" s="41"/>
      <c r="CD51" t="s">
        <v>616</v>
      </c>
      <c r="CE51" t="e">
        <f>BU7+BU61+CB7+CB58+CI7+#REF!+BM51</f>
        <v>#REF!</v>
      </c>
      <c r="CK51" s="58">
        <v>0</v>
      </c>
      <c r="CL51" s="36">
        <v>0</v>
      </c>
      <c r="CM51" s="36">
        <v>0</v>
      </c>
      <c r="CN51" s="36">
        <f t="shared" si="71"/>
        <v>0</v>
      </c>
      <c r="CO51" s="37"/>
      <c r="DJ51">
        <f>Tugitegevused!B65</f>
        <v>0</v>
      </c>
      <c r="DK51">
        <f>Tugitegevused!C65</f>
        <v>0</v>
      </c>
      <c r="DL51" t="str">
        <f>IFERROR(VLOOKUP(DJ51,EFid!$A$305:$B$340,2,FALSE),"0")</f>
        <v>0</v>
      </c>
      <c r="DM51">
        <f t="shared" si="59"/>
        <v>0</v>
      </c>
    </row>
    <row r="52" spans="1:118" ht="15" thickBot="1">
      <c r="B52" s="47" t="s">
        <v>617</v>
      </c>
      <c r="C52" s="33" t="s">
        <v>519</v>
      </c>
      <c r="E52" s="62">
        <f>E3</f>
        <v>0</v>
      </c>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42">
        <f>SUM(E52:AR52)</f>
        <v>0</v>
      </c>
      <c r="AU52" t="s">
        <v>22</v>
      </c>
      <c r="AY52" s="20">
        <f>Taimekasvatus!E89</f>
        <v>0</v>
      </c>
      <c r="AZ52">
        <f>Taimekasvatus!F89</f>
        <v>0</v>
      </c>
      <c r="BA52">
        <f>Taimekasvatus!G89</f>
        <v>0</v>
      </c>
      <c r="BD52" s="21">
        <f t="shared" si="72"/>
        <v>0</v>
      </c>
      <c r="BH52" s="20" t="str">
        <f>Loomakasvatus!B317</f>
        <v>Kasutatud soojusenergia liik 2</v>
      </c>
      <c r="BI52">
        <f>Loomakasvatus!C317</f>
        <v>0</v>
      </c>
      <c r="BJ52">
        <f>Loomakasvatus!D317</f>
        <v>0</v>
      </c>
      <c r="BK52">
        <f>IFERROR(VLOOKUP(BI52,EFid!$A$3:$D$31,2,FALSE),0)</f>
        <v>0</v>
      </c>
      <c r="BL52">
        <f t="shared" si="73"/>
        <v>0</v>
      </c>
      <c r="BM52" s="21"/>
      <c r="BP52" s="20">
        <f>Loomakasvatus!C172</f>
        <v>0</v>
      </c>
      <c r="BQ52" t="e">
        <f>Loomakasvatus!#REF!</f>
        <v>#REF!</v>
      </c>
      <c r="BR52">
        <f>Loomakasvatus!D172</f>
        <v>0</v>
      </c>
      <c r="BS52">
        <f>IFERROR(VLOOKUP(BP52,'EFid TK'!$B$4:$C$36,2,FALSE),0)</f>
        <v>0</v>
      </c>
      <c r="BT52">
        <f t="shared" si="67"/>
        <v>0</v>
      </c>
      <c r="BU52" s="21"/>
      <c r="CD52" t="s">
        <v>618</v>
      </c>
      <c r="CE52">
        <f>BM10+BU10+CB10+CI10+BM54+BU64+CB61</f>
        <v>0</v>
      </c>
      <c r="DJ52">
        <f>Tugitegevused!B66</f>
        <v>0</v>
      </c>
      <c r="DK52">
        <f>Tugitegevused!C66</f>
        <v>0</v>
      </c>
      <c r="DL52" t="str">
        <f>IFERROR(VLOOKUP(DJ52,EFid!$A$305:$B$340,2,FALSE),"0")</f>
        <v>0</v>
      </c>
      <c r="DM52">
        <f t="shared" si="59"/>
        <v>0</v>
      </c>
    </row>
    <row r="53" spans="1:118" ht="15" thickBot="1">
      <c r="B53" s="7" t="s">
        <v>619</v>
      </c>
      <c r="C53" s="8" t="s">
        <v>620</v>
      </c>
      <c r="D53" s="8"/>
      <c r="E53" s="61">
        <f>'M1 - TK'!$B$13</f>
        <v>8</v>
      </c>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42">
        <f>SUM(E53:AR53)</f>
        <v>8</v>
      </c>
      <c r="AU53" t="s">
        <v>615</v>
      </c>
      <c r="AY53" s="58"/>
      <c r="AZ53" s="36"/>
      <c r="BA53" s="36"/>
      <c r="BB53" s="36"/>
      <c r="BC53" s="36"/>
      <c r="BD53" s="37"/>
      <c r="BH53" s="20" t="str">
        <f>Loomakasvatus!B318</f>
        <v>Kasutatud soojusenergia liik 3</v>
      </c>
      <c r="BI53">
        <f>Loomakasvatus!C318</f>
        <v>0</v>
      </c>
      <c r="BJ53">
        <f>Loomakasvatus!D318</f>
        <v>0</v>
      </c>
      <c r="BK53">
        <f>IFERROR(VLOOKUP(BI53,EFid!$A$3:$D$31,2,FALSE),0)</f>
        <v>0</v>
      </c>
      <c r="BL53">
        <f t="shared" si="73"/>
        <v>0</v>
      </c>
      <c r="BM53" s="21"/>
      <c r="BP53" s="20">
        <f>Loomakasvatus!C173</f>
        <v>0</v>
      </c>
      <c r="BQ53" t="e">
        <f>Loomakasvatus!#REF!</f>
        <v>#REF!</v>
      </c>
      <c r="BR53">
        <f>Loomakasvatus!D173</f>
        <v>0</v>
      </c>
      <c r="BS53">
        <f>IFERROR(VLOOKUP(BP53,'EFid TK'!$B$4:$C$36,2,FALSE),0)</f>
        <v>0</v>
      </c>
      <c r="BT53">
        <f t="shared" si="67"/>
        <v>0</v>
      </c>
      <c r="BU53" s="21"/>
      <c r="BW53" s="90" t="s">
        <v>182</v>
      </c>
      <c r="BX53" s="16"/>
      <c r="BY53" s="16"/>
      <c r="BZ53" s="16"/>
      <c r="CA53" s="16"/>
      <c r="CB53" s="17"/>
      <c r="CD53" t="s">
        <v>621</v>
      </c>
      <c r="CE53">
        <f>BM13+BM57+BU13+BU66+CB13+CB64+CI13</f>
        <v>0</v>
      </c>
      <c r="DJ53">
        <f>Tugitegevused!B67</f>
        <v>0</v>
      </c>
      <c r="DK53">
        <f>Tugitegevused!C67</f>
        <v>0</v>
      </c>
      <c r="DL53" t="str">
        <f>IFERROR(VLOOKUP(DJ53,EFid!$A$305:$B$340,2,FALSE),"0")</f>
        <v>0</v>
      </c>
      <c r="DM53">
        <f t="shared" si="59"/>
        <v>0</v>
      </c>
    </row>
    <row r="54" spans="1:118">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42">
        <f>SUM(E54:AR54)</f>
        <v>0</v>
      </c>
      <c r="AY54" s="15" t="str">
        <f>Taimekasvatus!D90</f>
        <v>Soetatud herbitsiidid</v>
      </c>
      <c r="AZ54" s="15" t="str">
        <f>Taimekasvatus!F90</f>
        <v>Ühik</v>
      </c>
      <c r="BA54" s="15" t="str">
        <f>Taimekasvatus!G90</f>
        <v>Kogus</v>
      </c>
      <c r="BB54" s="16"/>
      <c r="BC54" s="82" t="s">
        <v>15</v>
      </c>
      <c r="BD54" s="17" t="s">
        <v>622</v>
      </c>
      <c r="BH54" s="20" t="str">
        <f>Loomakasvatus!B319</f>
        <v>Kasutatud elektrienergia liik 1</v>
      </c>
      <c r="BI54">
        <f>Loomakasvatus!C319</f>
        <v>0</v>
      </c>
      <c r="BJ54">
        <f>Loomakasvatus!D319</f>
        <v>0</v>
      </c>
      <c r="BK54">
        <f>IFERROR(VLOOKUP(BI54,EFid!$A$3:$D$31,2,FALSE),0)</f>
        <v>0</v>
      </c>
      <c r="BL54">
        <f t="shared" si="73"/>
        <v>0</v>
      </c>
      <c r="BM54" s="21">
        <f>SUM(BL54:BL55)</f>
        <v>0</v>
      </c>
      <c r="BP54" s="183"/>
      <c r="BQ54" s="8"/>
      <c r="BR54" s="8"/>
      <c r="BS54" s="8"/>
      <c r="BT54" s="8"/>
      <c r="BU54" s="184"/>
      <c r="BW54" s="80" t="s">
        <v>515</v>
      </c>
      <c r="BZ54" t="s">
        <v>516</v>
      </c>
      <c r="CA54" t="s">
        <v>514</v>
      </c>
      <c r="CB54" s="21"/>
      <c r="CD54" t="s">
        <v>442</v>
      </c>
      <c r="CE54">
        <f>BM97+BM107+BM117+BM127+BM137+BM147+BM157</f>
        <v>0</v>
      </c>
      <c r="CK54" s="1" t="s">
        <v>623</v>
      </c>
      <c r="CL54" s="1" t="s">
        <v>624</v>
      </c>
      <c r="DJ54">
        <f>Tugitegevused!B68</f>
        <v>0</v>
      </c>
      <c r="DK54">
        <f>Tugitegevused!C68</f>
        <v>0</v>
      </c>
      <c r="DL54" t="str">
        <f>IFERROR(VLOOKUP(DJ54,EFid!$A$305:$B$340,2,FALSE),"0")</f>
        <v>0</v>
      </c>
      <c r="DM54">
        <f t="shared" si="59"/>
        <v>0</v>
      </c>
    </row>
    <row r="55" spans="1:118" ht="15" thickBot="1">
      <c r="A55" s="159" t="s">
        <v>625</v>
      </c>
      <c r="B55" s="127" t="s">
        <v>626</v>
      </c>
      <c r="C55" s="178"/>
      <c r="D55" s="178"/>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42">
        <f>E56</f>
        <v>0</v>
      </c>
      <c r="AT55" s="159" t="s">
        <v>625</v>
      </c>
      <c r="AY55" s="20">
        <f>Taimekasvatus!E91</f>
        <v>0</v>
      </c>
      <c r="AZ55" s="20" t="str">
        <f>Taimekasvatus!F91</f>
        <v>l/kg toodet</v>
      </c>
      <c r="BA55" s="20">
        <f>Taimekasvatus!G91</f>
        <v>0</v>
      </c>
      <c r="BB55" t="str">
        <f>IFERROR(VLOOKUP(AY55,'EFid TK'!$J$116:$L$165,3,FALSE),"0")</f>
        <v>0</v>
      </c>
      <c r="BC55">
        <f>BA55*BB55</f>
        <v>0</v>
      </c>
      <c r="BD55" s="445">
        <f>SUM(BC55:BC68)</f>
        <v>0</v>
      </c>
      <c r="BH55" s="20" t="str">
        <f>Loomakasvatus!B320</f>
        <v>Kasutatud elektrienergia liik 2</v>
      </c>
      <c r="BI55">
        <f>Loomakasvatus!C320</f>
        <v>0</v>
      </c>
      <c r="BJ55">
        <f>Loomakasvatus!D320</f>
        <v>0</v>
      </c>
      <c r="BK55">
        <f>IFERROR(VLOOKUP(BI55,EFid!$A$3:$D$31,2,FALSE),0)</f>
        <v>0</v>
      </c>
      <c r="BL55">
        <f t="shared" si="73"/>
        <v>0</v>
      </c>
      <c r="BM55" s="21"/>
      <c r="BW55" s="20" t="s">
        <v>306</v>
      </c>
      <c r="BX55">
        <f>Loomakasvatus!C501</f>
        <v>0</v>
      </c>
      <c r="BY55">
        <f>Loomakasvatus!D501</f>
        <v>0</v>
      </c>
      <c r="BZ55" t="str">
        <f>IFERROR(VLOOKUP(BX55,EFid!$A$50:$B$73,2,FALSE),"0")</f>
        <v>0</v>
      </c>
      <c r="CA55">
        <f>BY55*BZ55</f>
        <v>0</v>
      </c>
      <c r="CB55" s="21">
        <f>SUM(CA55:CA57)</f>
        <v>0</v>
      </c>
      <c r="CD55" t="s">
        <v>452</v>
      </c>
      <c r="CE55">
        <f>BU108+BU117+BU126+BU135+BU144+BU153+BU162</f>
        <v>0</v>
      </c>
      <c r="CK55" t="s">
        <v>627</v>
      </c>
      <c r="CL55">
        <f>'Tootepõhine jalajälg'!C26</f>
        <v>0</v>
      </c>
      <c r="DJ55">
        <f>Tugitegevused!B69</f>
        <v>0</v>
      </c>
      <c r="DK55">
        <f>Tugitegevused!C69</f>
        <v>0</v>
      </c>
      <c r="DL55" t="str">
        <f>IFERROR(VLOOKUP(DJ55,EFid!$A$305:$B$340,2,FALSE),"0")</f>
        <v>0</v>
      </c>
      <c r="DM55">
        <f t="shared" si="59"/>
        <v>0</v>
      </c>
    </row>
    <row r="56" spans="1:118">
      <c r="B56" s="6" t="s">
        <v>628</v>
      </c>
      <c r="C56" t="s">
        <v>629</v>
      </c>
      <c r="E56" s="442">
        <f>IFERROR(((((1-G124)*G145)+((1-H124)*H145)+((1-E194)*E200)+((1-G276)*G282)+((1-H276)*H282)+((1-I276)*I282)+((1-J276)*J282)+((1-K276)*K282)+((1-L276)*L282)+((1-M276)*M282)+((1-N276)*N282)+((1-O276)*O282)+((1-P276)*P282)+((1-Q276)*Q282)+((1-R276)*R282)+((1-G352)*G358)+((1-H352)*H358)+((1-I352)*I358)+(E439*E457*(E472))+(E476*E494*(E509)))*E65)+((E404*E412*(E434))*E66),0)</f>
        <v>0</v>
      </c>
      <c r="F56" s="1162"/>
      <c r="G56" s="1162"/>
      <c r="H56" s="1162"/>
      <c r="I56" s="1162"/>
      <c r="J56" s="1162"/>
      <c r="K56" s="1162"/>
      <c r="L56" s="1162"/>
      <c r="M56" s="1162"/>
      <c r="N56" s="1162"/>
      <c r="O56" s="1162"/>
      <c r="P56" s="1162"/>
      <c r="Q56" s="1162"/>
      <c r="R56" s="1162"/>
      <c r="S56" s="1162"/>
      <c r="T56" s="1162"/>
      <c r="U56" s="1162"/>
      <c r="V56" s="1162"/>
      <c r="W56" s="1162"/>
      <c r="X56" s="1162"/>
      <c r="Y56" s="1162"/>
      <c r="Z56" s="1162"/>
      <c r="AA56" s="1162"/>
      <c r="AB56" s="1162"/>
      <c r="AC56" s="1162"/>
      <c r="AD56" s="1162"/>
      <c r="AE56" s="1162"/>
      <c r="AF56" s="1162"/>
      <c r="AG56" s="1162"/>
      <c r="AH56" s="1162"/>
      <c r="AI56" s="1162"/>
      <c r="AJ56" s="1162"/>
      <c r="AK56" s="1162"/>
      <c r="AL56" s="1162"/>
      <c r="AM56" s="1162"/>
      <c r="AN56" s="1162"/>
      <c r="AO56" s="1162"/>
      <c r="AP56" s="1162"/>
      <c r="AQ56" s="1162"/>
      <c r="AR56" s="1162"/>
      <c r="AS56" s="42">
        <f t="shared" ref="AS56:AS97" si="74">SUM(E56:AR56)</f>
        <v>0</v>
      </c>
      <c r="AY56" s="20">
        <f>Taimekasvatus!E92</f>
        <v>0</v>
      </c>
      <c r="AZ56" s="20" t="str">
        <f>Taimekasvatus!F92</f>
        <v>l/kg toodet</v>
      </c>
      <c r="BA56" s="20">
        <f>Taimekasvatus!G92</f>
        <v>0</v>
      </c>
      <c r="BB56" t="str">
        <f>IFERROR(VLOOKUP(AY56,'EFid TK'!$J$116:$L$165,3,FALSE),"0")</f>
        <v>0</v>
      </c>
      <c r="BC56">
        <f t="shared" ref="BC56:BC64" si="75">BA56*BB56</f>
        <v>0</v>
      </c>
      <c r="BD56" s="21"/>
      <c r="BH56" s="80" t="s">
        <v>534</v>
      </c>
      <c r="BL56" s="1">
        <f>SUM(BL51:BL55)</f>
        <v>0</v>
      </c>
      <c r="BM56" s="21"/>
      <c r="BP56" s="90" t="s">
        <v>185</v>
      </c>
      <c r="BQ56" s="16"/>
      <c r="BR56" s="16"/>
      <c r="BS56" s="16"/>
      <c r="BT56" s="16"/>
      <c r="BU56" s="17"/>
      <c r="BW56" s="20" t="s">
        <v>307</v>
      </c>
      <c r="BX56">
        <f>Loomakasvatus!C502</f>
        <v>0</v>
      </c>
      <c r="BY56">
        <f>Loomakasvatus!D502</f>
        <v>0</v>
      </c>
      <c r="BZ56" t="str">
        <f>IFERROR(VLOOKUP(BX56,EFid!$A$50:$B$73,2,FALSE),"0")</f>
        <v>0</v>
      </c>
      <c r="CA56">
        <f t="shared" ref="CA56:CA57" si="76">BY56*BZ56</f>
        <v>0</v>
      </c>
      <c r="CB56" s="21"/>
      <c r="CK56" t="s">
        <v>159</v>
      </c>
      <c r="CL56">
        <f>'Tootepõhine jalajälg'!F26</f>
        <v>0</v>
      </c>
      <c r="DJ56" s="1" t="str">
        <f>Tugitegevused!B70</f>
        <v>Buss, rööbastransport, lennuk ja laev</v>
      </c>
      <c r="DK56" s="1" t="s">
        <v>630</v>
      </c>
      <c r="DL56" s="1" t="s">
        <v>516</v>
      </c>
      <c r="DM56" s="1" t="s">
        <v>524</v>
      </c>
    </row>
    <row r="57" spans="1:118" ht="15" thickBot="1">
      <c r="A57" s="1342" t="s">
        <v>631</v>
      </c>
      <c r="B57" s="40" t="s">
        <v>632</v>
      </c>
      <c r="C57" t="s">
        <v>633</v>
      </c>
      <c r="E57" s="1162"/>
      <c r="F57" s="1162"/>
      <c r="G57" s="1162"/>
      <c r="H57" s="1162"/>
      <c r="I57" s="1162"/>
      <c r="J57" s="1162"/>
      <c r="K57" s="1162"/>
      <c r="L57" s="1162"/>
      <c r="M57" s="1162"/>
      <c r="N57" s="1162"/>
      <c r="O57" s="1162"/>
      <c r="P57" s="1162"/>
      <c r="Q57" s="1162"/>
      <c r="R57" s="1162"/>
      <c r="S57" s="1162"/>
      <c r="T57" s="1162"/>
      <c r="U57" s="1162"/>
      <c r="V57" s="1162"/>
      <c r="W57" s="1162"/>
      <c r="X57" s="1162"/>
      <c r="Y57" s="1162"/>
      <c r="Z57" s="1162"/>
      <c r="AA57" s="1162"/>
      <c r="AB57" s="1162"/>
      <c r="AC57" s="1162"/>
      <c r="AD57" s="1162"/>
      <c r="AE57" s="1162"/>
      <c r="AF57" s="1162"/>
      <c r="AG57" s="1162"/>
      <c r="AH57" s="1162"/>
      <c r="AI57" s="1162"/>
      <c r="AJ57" s="1162"/>
      <c r="AK57" s="1162"/>
      <c r="AL57" s="1162"/>
      <c r="AM57" s="1162"/>
      <c r="AN57" s="1162"/>
      <c r="AO57" s="1162"/>
      <c r="AP57" s="1162"/>
      <c r="AQ57" s="1162"/>
      <c r="AR57" s="1162"/>
      <c r="AS57" s="42">
        <f t="shared" si="74"/>
        <v>0</v>
      </c>
      <c r="AT57" s="332"/>
      <c r="AY57" s="20">
        <f>Taimekasvatus!E93</f>
        <v>0</v>
      </c>
      <c r="AZ57" s="20" t="str">
        <f>Taimekasvatus!F93</f>
        <v>l/kg toodet</v>
      </c>
      <c r="BA57" s="20">
        <f>Taimekasvatus!G93</f>
        <v>0</v>
      </c>
      <c r="BB57" t="str">
        <f>IFERROR(VLOOKUP(AY57,'EFid TK'!$J$116:$L$165,3,FALSE),"0")</f>
        <v>0</v>
      </c>
      <c r="BC57">
        <f t="shared" si="75"/>
        <v>0</v>
      </c>
      <c r="BD57" s="21"/>
      <c r="BH57" s="20">
        <f>Loomakasvatus!B326</f>
        <v>0</v>
      </c>
      <c r="BI57">
        <f>Loomakasvatus!C326</f>
        <v>0</v>
      </c>
      <c r="BJ57">
        <f>Loomakasvatus!D326/1000</f>
        <v>0</v>
      </c>
      <c r="BK57" t="e">
        <f>INDEX('M1 - LK'!$A$302:$AC$369,MATCH(Loomakasvatus!C326,'M1 - LK'!$A$302:$A$369,0),MATCH(Loomakasvatus!B326,'M1 - LK'!$A$301:$AC$301,0))</f>
        <v>#N/A</v>
      </c>
      <c r="BL57">
        <f t="shared" ref="BL57:BL66" si="77">IFERROR(BK57*BJ57,0)</f>
        <v>0</v>
      </c>
      <c r="BM57" s="445">
        <f>SUM(BL57:BL70)*1000+SUM(BL83:BL94)+CO19</f>
        <v>0</v>
      </c>
      <c r="BP57" s="80" t="s">
        <v>515</v>
      </c>
      <c r="BS57" t="s">
        <v>516</v>
      </c>
      <c r="BT57" t="s">
        <v>514</v>
      </c>
      <c r="BU57" s="21"/>
      <c r="BW57" s="20" t="s">
        <v>308</v>
      </c>
      <c r="BX57">
        <f>Loomakasvatus!C503</f>
        <v>0</v>
      </c>
      <c r="BY57">
        <f>Loomakasvatus!D503</f>
        <v>0</v>
      </c>
      <c r="BZ57" t="str">
        <f>IFERROR(VLOOKUP(BX57,EFid!$A$50:$B$73,2,FALSE),"0")</f>
        <v>0</v>
      </c>
      <c r="CA57">
        <f t="shared" si="76"/>
        <v>0</v>
      </c>
      <c r="CB57" s="21"/>
      <c r="CK57" t="s">
        <v>634</v>
      </c>
      <c r="CL57">
        <f>'Tootepõhine jalajälg'!I26</f>
        <v>0</v>
      </c>
      <c r="DJ57" t="str">
        <f>Tugitegevused!B71</f>
        <v>Buss, kaugliin (Eesti ja rahvusvaheline)</v>
      </c>
      <c r="DK57">
        <f>Tugitegevused!C71</f>
        <v>0</v>
      </c>
      <c r="DL57" cm="1">
        <f t="array" ref="DL57">IFERROR(VLOOKUP(DJ57:DJ57,EFid!$A$341:$B$360,2,FALSE),"0")</f>
        <v>3.5698266645053725E-2</v>
      </c>
      <c r="DM57">
        <f t="shared" si="59"/>
        <v>0</v>
      </c>
      <c r="DN57">
        <f>SUM(DM57:DM69)</f>
        <v>0</v>
      </c>
    </row>
    <row r="58" spans="1:118">
      <c r="A58" s="1342"/>
      <c r="B58" s="47" t="s">
        <v>635</v>
      </c>
      <c r="C58" s="33" t="s">
        <v>636</v>
      </c>
      <c r="E58" s="1163"/>
      <c r="F58" s="1163"/>
      <c r="G58" s="1163"/>
      <c r="H58" s="1163"/>
      <c r="I58" s="1163"/>
      <c r="J58" s="1163"/>
      <c r="K58" s="1163"/>
      <c r="L58" s="1163"/>
      <c r="M58" s="1163"/>
      <c r="N58" s="1163"/>
      <c r="O58" s="1163"/>
      <c r="P58" s="1163"/>
      <c r="Q58" s="1163"/>
      <c r="R58" s="1163"/>
      <c r="S58" s="1163"/>
      <c r="T58" s="1163"/>
      <c r="U58" s="1163"/>
      <c r="V58" s="1163"/>
      <c r="W58" s="1163"/>
      <c r="X58" s="1163"/>
      <c r="Y58" s="1163"/>
      <c r="Z58" s="1163"/>
      <c r="AA58" s="1163"/>
      <c r="AB58" s="1163"/>
      <c r="AC58" s="1163"/>
      <c r="AD58" s="1163"/>
      <c r="AE58" s="1163"/>
      <c r="AF58" s="1163"/>
      <c r="AG58" s="1163"/>
      <c r="AH58" s="1163"/>
      <c r="AI58" s="1163"/>
      <c r="AJ58" s="1163"/>
      <c r="AK58" s="1163"/>
      <c r="AL58" s="1163"/>
      <c r="AM58" s="1163"/>
      <c r="AN58" s="1163"/>
      <c r="AO58" s="1163"/>
      <c r="AP58" s="1163"/>
      <c r="AQ58" s="1163"/>
      <c r="AR58" s="1163"/>
      <c r="AS58" s="42">
        <f t="shared" si="74"/>
        <v>0</v>
      </c>
      <c r="AT58" s="332"/>
      <c r="AY58" s="20">
        <f>Taimekasvatus!E94</f>
        <v>0</v>
      </c>
      <c r="AZ58" s="20" t="str">
        <f>Taimekasvatus!F94</f>
        <v>l/kg toodet</v>
      </c>
      <c r="BA58" s="20">
        <f>Taimekasvatus!G94</f>
        <v>0</v>
      </c>
      <c r="BB58" t="str">
        <f>IFERROR(VLOOKUP(AY58,'EFid TK'!$J$116:$L$165,3,FALSE),"0")</f>
        <v>0</v>
      </c>
      <c r="BC58">
        <f t="shared" si="75"/>
        <v>0</v>
      </c>
      <c r="BD58" s="21"/>
      <c r="BH58" s="20">
        <f>Loomakasvatus!B327</f>
        <v>0</v>
      </c>
      <c r="BI58">
        <f>Loomakasvatus!C327</f>
        <v>0</v>
      </c>
      <c r="BJ58">
        <f>Loomakasvatus!D327/1000</f>
        <v>0</v>
      </c>
      <c r="BK58" t="e">
        <f>INDEX('M1 - LK'!$A$302:$AC$369,MATCH(Loomakasvatus!C327,'M1 - LK'!$A$302:$A$369,0),MATCH(Loomakasvatus!B327,'M1 - LK'!$A$301:$AC$301,0))</f>
        <v>#N/A</v>
      </c>
      <c r="BL58">
        <f t="shared" si="77"/>
        <v>0</v>
      </c>
      <c r="BM58" s="21"/>
      <c r="BP58" s="20" t="s">
        <v>240</v>
      </c>
      <c r="BQ58">
        <f>Loomakasvatus!C38</f>
        <v>0</v>
      </c>
      <c r="BR58">
        <f>Loomakasvatus!D38</f>
        <v>0</v>
      </c>
      <c r="BS58" t="str">
        <f>IFERROR(VLOOKUP(BQ58,EFid!$A$50:$B$73,2,FALSE),"0")</f>
        <v>0</v>
      </c>
      <c r="BT58">
        <f>BR58*BS58</f>
        <v>0</v>
      </c>
      <c r="BU58" s="445">
        <f>SUM(BT58:BT60)</f>
        <v>0</v>
      </c>
      <c r="BW58" s="20" t="str">
        <f>Loomakasvatus!B495</f>
        <v>Kasutatud soojusenergia liik 1</v>
      </c>
      <c r="BX58">
        <f>Loomakasvatus!C495</f>
        <v>0</v>
      </c>
      <c r="BY58">
        <f>Loomakasvatus!D495</f>
        <v>0</v>
      </c>
      <c r="BZ58">
        <f>IFERROR(VLOOKUP(BX58,EFid!$A$3:$D$31,2,FALSE),0)</f>
        <v>0</v>
      </c>
      <c r="CA58">
        <f>BZ58*BY58</f>
        <v>0</v>
      </c>
      <c r="CB58" s="445">
        <f>SUM(CA58:CA60)</f>
        <v>0</v>
      </c>
      <c r="CD58" s="90" t="s">
        <v>637</v>
      </c>
      <c r="CE58" s="16"/>
      <c r="CF58" s="16"/>
      <c r="CG58" s="17"/>
      <c r="CK58" t="s">
        <v>638</v>
      </c>
      <c r="CL58">
        <f>'Tootepõhine jalajälg'!L26</f>
        <v>0</v>
      </c>
      <c r="DJ58" t="str">
        <f>Tugitegevused!B72</f>
        <v>Lennuk, Euroopa-sisene lend (kuni 3700 km), keskmine</v>
      </c>
      <c r="DK58">
        <f>Tugitegevused!C72</f>
        <v>0</v>
      </c>
      <c r="DL58" cm="1">
        <f t="array" ref="DL58">IFERROR(VLOOKUP(DJ58:DJ58,EFid!$A$341:$B$360,2,FALSE),"0")</f>
        <v>0.15353</v>
      </c>
      <c r="DM58">
        <f t="shared" si="59"/>
        <v>0</v>
      </c>
    </row>
    <row r="59" spans="1:118">
      <c r="A59" s="1342"/>
      <c r="B59" s="6" t="s">
        <v>639</v>
      </c>
      <c r="C59" t="s">
        <v>640</v>
      </c>
      <c r="E59" s="1162"/>
      <c r="F59" s="1162"/>
      <c r="G59" s="1162"/>
      <c r="H59" s="1162"/>
      <c r="I59" s="1162"/>
      <c r="J59" s="1162"/>
      <c r="K59" s="1162"/>
      <c r="L59" s="1162"/>
      <c r="M59" s="1162"/>
      <c r="N59" s="1162"/>
      <c r="O59" s="1162"/>
      <c r="P59" s="1162"/>
      <c r="Q59" s="1162"/>
      <c r="R59" s="1162"/>
      <c r="S59" s="1162"/>
      <c r="T59" s="1162"/>
      <c r="U59" s="1162"/>
      <c r="V59" s="1162"/>
      <c r="W59" s="1162"/>
      <c r="X59" s="1162"/>
      <c r="Y59" s="1162"/>
      <c r="Z59" s="1162"/>
      <c r="AA59" s="1162"/>
      <c r="AB59" s="1162"/>
      <c r="AC59" s="1162"/>
      <c r="AD59" s="1162"/>
      <c r="AE59" s="1162"/>
      <c r="AF59" s="1162"/>
      <c r="AG59" s="1162"/>
      <c r="AH59" s="1162"/>
      <c r="AI59" s="1162"/>
      <c r="AJ59" s="1162"/>
      <c r="AK59" s="1162"/>
      <c r="AL59" s="1162"/>
      <c r="AM59" s="1162"/>
      <c r="AN59" s="1162"/>
      <c r="AO59" s="1162"/>
      <c r="AP59" s="1162"/>
      <c r="AQ59" s="1162"/>
      <c r="AR59" s="1162"/>
      <c r="AS59" s="42">
        <f t="shared" si="74"/>
        <v>0</v>
      </c>
      <c r="AT59" s="332"/>
      <c r="AY59" s="20">
        <f>Taimekasvatus!E95</f>
        <v>0</v>
      </c>
      <c r="AZ59" s="20" t="str">
        <f>Taimekasvatus!F95</f>
        <v>l/kg toodet</v>
      </c>
      <c r="BA59" s="20">
        <f>Taimekasvatus!G95</f>
        <v>0</v>
      </c>
      <c r="BB59" t="str">
        <f>IFERROR(VLOOKUP(AY59,'EFid TK'!$J$116:$L$165,3,FALSE),"0")</f>
        <v>0</v>
      </c>
      <c r="BC59">
        <f t="shared" si="75"/>
        <v>0</v>
      </c>
      <c r="BD59" s="88"/>
      <c r="BH59" s="20">
        <f>Loomakasvatus!B328</f>
        <v>0</v>
      </c>
      <c r="BI59">
        <f>Loomakasvatus!C328</f>
        <v>0</v>
      </c>
      <c r="BJ59">
        <f>Loomakasvatus!D328/1000</f>
        <v>0</v>
      </c>
      <c r="BK59" t="e">
        <f>INDEX('M1 - LK'!$A$302:$AC$369,MATCH(Loomakasvatus!C328,'M1 - LK'!$A$302:$A$369,0),MATCH(Loomakasvatus!B328,'M1 - LK'!$A$301:$AC$301,0))</f>
        <v>#N/A</v>
      </c>
      <c r="BL59">
        <f t="shared" si="77"/>
        <v>0</v>
      </c>
      <c r="BM59" s="21"/>
      <c r="BP59" s="20" t="s">
        <v>243</v>
      </c>
      <c r="BQ59">
        <f>Loomakasvatus!C39</f>
        <v>0</v>
      </c>
      <c r="BR59">
        <f>Loomakasvatus!D39</f>
        <v>0</v>
      </c>
      <c r="BS59" t="str">
        <f>IFERROR(VLOOKUP(BQ59,EFid!$A$50:$B$73,2,FALSE),"0")</f>
        <v>0</v>
      </c>
      <c r="BT59">
        <f t="shared" ref="BT59:BT60" si="78">BR59*BS59</f>
        <v>0</v>
      </c>
      <c r="BU59" s="21"/>
      <c r="BW59" s="20" t="str">
        <f>Loomakasvatus!B496</f>
        <v>Kasutatud soojusenergia liik 2</v>
      </c>
      <c r="BX59">
        <f>Loomakasvatus!C496</f>
        <v>0</v>
      </c>
      <c r="BY59">
        <f>Loomakasvatus!D496</f>
        <v>0</v>
      </c>
      <c r="BZ59">
        <f>IFERROR(VLOOKUP(BX59,EFid!$A$3:$D$31,2,FALSE),0)</f>
        <v>0</v>
      </c>
      <c r="CA59">
        <f t="shared" ref="CA59:CA97" si="79">BZ59*BY59</f>
        <v>0</v>
      </c>
      <c r="CB59" s="21"/>
      <c r="CD59" s="365" t="s">
        <v>184</v>
      </c>
      <c r="CE59" t="s">
        <v>238</v>
      </c>
      <c r="CF59" t="s">
        <v>516</v>
      </c>
      <c r="CG59" s="21" t="s">
        <v>514</v>
      </c>
      <c r="CK59" t="s">
        <v>253</v>
      </c>
      <c r="CL59">
        <f>'Tootepõhine jalajälg'!O26</f>
        <v>0</v>
      </c>
      <c r="DJ59">
        <f>Tugitegevused!B73</f>
        <v>0</v>
      </c>
      <c r="DK59">
        <f>Tugitegevused!C73</f>
        <v>0</v>
      </c>
      <c r="DL59" t="str" cm="1">
        <f t="array" ref="DL59">IFERROR(VLOOKUP(DJ59:DJ59,EFid!$A$341:$B$360,2,FALSE),"0")</f>
        <v>0</v>
      </c>
      <c r="DM59">
        <f t="shared" si="59"/>
        <v>0</v>
      </c>
    </row>
    <row r="60" spans="1:118">
      <c r="A60" s="1342"/>
      <c r="B60" s="6" t="s">
        <v>641</v>
      </c>
      <c r="C60" t="s">
        <v>642</v>
      </c>
      <c r="E60" s="1162"/>
      <c r="F60" s="1162"/>
      <c r="G60" s="1162"/>
      <c r="H60" s="1162"/>
      <c r="I60" s="1162"/>
      <c r="J60" s="1162"/>
      <c r="K60" s="1162"/>
      <c r="L60" s="1162"/>
      <c r="M60" s="1162"/>
      <c r="N60" s="1162"/>
      <c r="O60" s="1162"/>
      <c r="P60" s="1162"/>
      <c r="Q60" s="1162"/>
      <c r="R60" s="1162"/>
      <c r="S60" s="1162"/>
      <c r="T60" s="1162"/>
      <c r="U60" s="1162"/>
      <c r="V60" s="1162"/>
      <c r="W60" s="1162"/>
      <c r="X60" s="1162"/>
      <c r="Y60" s="1162"/>
      <c r="Z60" s="1162"/>
      <c r="AA60" s="1162"/>
      <c r="AB60" s="1162"/>
      <c r="AC60" s="1162"/>
      <c r="AD60" s="1162"/>
      <c r="AE60" s="1162"/>
      <c r="AF60" s="1162"/>
      <c r="AG60" s="1162"/>
      <c r="AH60" s="1162"/>
      <c r="AI60" s="1162"/>
      <c r="AJ60" s="1162"/>
      <c r="AK60" s="1162"/>
      <c r="AL60" s="1162"/>
      <c r="AM60" s="1162"/>
      <c r="AN60" s="1162"/>
      <c r="AO60" s="1162"/>
      <c r="AP60" s="1162"/>
      <c r="AQ60" s="1162"/>
      <c r="AR60" s="1162"/>
      <c r="AS60" s="42">
        <f t="shared" si="74"/>
        <v>0</v>
      </c>
      <c r="AT60" s="332"/>
      <c r="AY60" s="20">
        <f>Taimekasvatus!E96</f>
        <v>0</v>
      </c>
      <c r="AZ60" s="20" t="str">
        <f>Taimekasvatus!F96</f>
        <v>l/kg toodet</v>
      </c>
      <c r="BA60" s="20">
        <f>Taimekasvatus!G96</f>
        <v>0</v>
      </c>
      <c r="BB60" t="str">
        <f>IFERROR(VLOOKUP(AY60,'EFid TK'!$J$116:$L$165,3,FALSE),"0")</f>
        <v>0</v>
      </c>
      <c r="BC60">
        <f t="shared" si="75"/>
        <v>0</v>
      </c>
      <c r="BD60" s="21"/>
      <c r="BH60" s="20">
        <f>Loomakasvatus!B329</f>
        <v>0</v>
      </c>
      <c r="BI60">
        <f>Loomakasvatus!C329</f>
        <v>0</v>
      </c>
      <c r="BJ60">
        <f>Loomakasvatus!D329/1000</f>
        <v>0</v>
      </c>
      <c r="BK60" t="e">
        <f>INDEX('M1 - LK'!$A$302:$AC$369,MATCH(Loomakasvatus!C329,'M1 - LK'!$A$302:$A$369,0),MATCH(Loomakasvatus!B329,'M1 - LK'!$A$301:$AC$301,0))</f>
        <v>#N/A</v>
      </c>
      <c r="BL60">
        <f t="shared" si="77"/>
        <v>0</v>
      </c>
      <c r="BM60" s="21"/>
      <c r="BP60" s="20" t="s">
        <v>244</v>
      </c>
      <c r="BQ60">
        <f>Loomakasvatus!C40</f>
        <v>0</v>
      </c>
      <c r="BR60">
        <f>Loomakasvatus!D40</f>
        <v>0</v>
      </c>
      <c r="BS60" t="str">
        <f>IFERROR(VLOOKUP(BQ60,EFid!$A$50:$B$73,2,FALSE),"0")</f>
        <v>0</v>
      </c>
      <c r="BT60">
        <f t="shared" si="78"/>
        <v>0</v>
      </c>
      <c r="BU60" s="21"/>
      <c r="BW60" s="20" t="str">
        <f>Loomakasvatus!B497</f>
        <v>Kasutatud soojusenergia liik 3</v>
      </c>
      <c r="BX60">
        <f>Loomakasvatus!C497</f>
        <v>0</v>
      </c>
      <c r="BY60">
        <f>Loomakasvatus!D497</f>
        <v>0</v>
      </c>
      <c r="BZ60">
        <f>IFERROR(VLOOKUP(BX60,EFid!$A$3:$D$31,2,FALSE),0)</f>
        <v>0</v>
      </c>
      <c r="CA60">
        <f t="shared" si="79"/>
        <v>0</v>
      </c>
      <c r="CB60" s="21"/>
      <c r="CD60" s="183" t="s">
        <v>643</v>
      </c>
      <c r="CE60" s="8">
        <f>Loomakasvatus!D226</f>
        <v>0</v>
      </c>
      <c r="CF60" s="8">
        <f>EFid!$B$238+EFid!$B$239</f>
        <v>0.42100000000000004</v>
      </c>
      <c r="CG60" s="184">
        <f>CF60*CE60</f>
        <v>0</v>
      </c>
      <c r="CK60" t="s">
        <v>644</v>
      </c>
      <c r="CL60">
        <f>'Tootepõhine jalajälg'!R26</f>
        <v>0</v>
      </c>
      <c r="DJ60">
        <f>Tugitegevused!B74</f>
        <v>0</v>
      </c>
      <c r="DK60">
        <f>Tugitegevused!C74</f>
        <v>0</v>
      </c>
      <c r="DL60" t="str" cm="1">
        <f t="array" ref="DL60">IFERROR(VLOOKUP(DJ60:DJ60,EFid!$A$341:$B$360,2,FALSE),"0")</f>
        <v>0</v>
      </c>
      <c r="DM60">
        <f t="shared" si="59"/>
        <v>0</v>
      </c>
    </row>
    <row r="61" spans="1:118">
      <c r="A61" s="1342" t="s">
        <v>645</v>
      </c>
      <c r="B61" s="40" t="s">
        <v>646</v>
      </c>
      <c r="C61" t="s">
        <v>647</v>
      </c>
      <c r="E61" s="1162"/>
      <c r="F61" s="1162"/>
      <c r="G61" s="1162"/>
      <c r="H61" s="1162"/>
      <c r="I61" s="1162"/>
      <c r="J61" s="1162"/>
      <c r="K61" s="1162"/>
      <c r="L61" s="1162"/>
      <c r="M61" s="1162"/>
      <c r="N61" s="1162"/>
      <c r="O61" s="1162"/>
      <c r="P61" s="1162"/>
      <c r="Q61" s="1162"/>
      <c r="R61" s="1162"/>
      <c r="S61" s="1162"/>
      <c r="T61" s="1162"/>
      <c r="U61" s="1162"/>
      <c r="V61" s="1162"/>
      <c r="W61" s="1162"/>
      <c r="X61" s="1162"/>
      <c r="Y61" s="1162"/>
      <c r="Z61" s="1162"/>
      <c r="AA61" s="1162"/>
      <c r="AB61" s="1162"/>
      <c r="AC61" s="1162"/>
      <c r="AD61" s="1162"/>
      <c r="AE61" s="1162"/>
      <c r="AF61" s="1162"/>
      <c r="AG61" s="1162"/>
      <c r="AH61" s="1162"/>
      <c r="AI61" s="1162"/>
      <c r="AJ61" s="1162"/>
      <c r="AK61" s="1162"/>
      <c r="AL61" s="1162"/>
      <c r="AM61" s="1162"/>
      <c r="AN61" s="1162"/>
      <c r="AO61" s="1162"/>
      <c r="AP61" s="1162"/>
      <c r="AQ61" s="1162"/>
      <c r="AR61" s="1162"/>
      <c r="AS61" s="42">
        <f t="shared" si="74"/>
        <v>0</v>
      </c>
      <c r="AT61" s="332"/>
      <c r="AY61" s="20">
        <f>Taimekasvatus!E97</f>
        <v>0</v>
      </c>
      <c r="AZ61" s="20" t="str">
        <f>Taimekasvatus!F97</f>
        <v>l/kg toodet</v>
      </c>
      <c r="BA61" s="20">
        <f>Taimekasvatus!G97</f>
        <v>0</v>
      </c>
      <c r="BB61" t="str">
        <f>IFERROR(VLOOKUP(AY61,'EFid TK'!$J$116:$L$165,3,FALSE),"0")</f>
        <v>0</v>
      </c>
      <c r="BC61">
        <f t="shared" si="75"/>
        <v>0</v>
      </c>
      <c r="BD61" s="21"/>
      <c r="BH61" s="20">
        <f>Loomakasvatus!B330</f>
        <v>0</v>
      </c>
      <c r="BI61">
        <f>Loomakasvatus!C330</f>
        <v>0</v>
      </c>
      <c r="BJ61">
        <f>Loomakasvatus!D330/1000</f>
        <v>0</v>
      </c>
      <c r="BK61" t="e">
        <f>INDEX('M1 - LK'!$A$302:$AC$369,MATCH(Loomakasvatus!C330,'M1 - LK'!$A$302:$A$369,0),MATCH(Loomakasvatus!B330,'M1 - LK'!$A$301:$AC$301,0))</f>
        <v>#N/A</v>
      </c>
      <c r="BL61">
        <f t="shared" si="77"/>
        <v>0</v>
      </c>
      <c r="BM61" s="21"/>
      <c r="BP61" s="20" t="str">
        <f>Loomakasvatus!B32</f>
        <v>Kasutatud soojusenergia liik 1</v>
      </c>
      <c r="BQ61">
        <f>Loomakasvatus!C32</f>
        <v>0</v>
      </c>
      <c r="BR61">
        <f>Loomakasvatus!D32</f>
        <v>0</v>
      </c>
      <c r="BS61">
        <f>IFERROR(VLOOKUP(BQ61,EFid!$A$3:$D$31,2,FALSE),0)</f>
        <v>0</v>
      </c>
      <c r="BT61">
        <f>BS61*BR61</f>
        <v>0</v>
      </c>
      <c r="BU61" s="445">
        <f>SUM(BT61:BT63)</f>
        <v>0</v>
      </c>
      <c r="BW61" s="20" t="str">
        <f>Loomakasvatus!B498</f>
        <v>Kasutatud elektrienergia liik 1</v>
      </c>
      <c r="BX61">
        <f>Loomakasvatus!C498</f>
        <v>0</v>
      </c>
      <c r="BY61">
        <f>Loomakasvatus!D498</f>
        <v>0</v>
      </c>
      <c r="BZ61">
        <f>IFERROR(VLOOKUP(BX61,EFid!$A$3:$D$31,2,FALSE),0)</f>
        <v>0</v>
      </c>
      <c r="CA61">
        <f t="shared" si="79"/>
        <v>0</v>
      </c>
      <c r="CB61" s="21">
        <f>SUM(CA61:CA62)</f>
        <v>0</v>
      </c>
      <c r="CD61" s="20" t="s">
        <v>179</v>
      </c>
      <c r="CE61">
        <f>Loomakasvatus!D321</f>
        <v>0</v>
      </c>
      <c r="CF61" s="8">
        <f>EFid!$B$238+EFid!$B$239</f>
        <v>0.42100000000000004</v>
      </c>
      <c r="CG61" s="21">
        <f>CF61*CE61</f>
        <v>0</v>
      </c>
      <c r="CK61" t="s">
        <v>980</v>
      </c>
      <c r="CL61">
        <f>'Tootepõhine jalajälg'!U26</f>
        <v>0</v>
      </c>
      <c r="DJ61">
        <f>Tugitegevused!B75</f>
        <v>0</v>
      </c>
      <c r="DK61">
        <f>Tugitegevused!C75</f>
        <v>0</v>
      </c>
      <c r="DL61" t="str" cm="1">
        <f t="array" ref="DL61">IFERROR(VLOOKUP(DJ61:DJ61,EFid!$A$341:$B$360,2,FALSE),"0")</f>
        <v>0</v>
      </c>
      <c r="DM61">
        <f t="shared" si="59"/>
        <v>0</v>
      </c>
    </row>
    <row r="62" spans="1:118">
      <c r="A62" s="1342"/>
      <c r="B62" s="47" t="s">
        <v>635</v>
      </c>
      <c r="C62" s="33" t="s">
        <v>636</v>
      </c>
      <c r="E62" s="1163"/>
      <c r="F62" s="1163"/>
      <c r="G62" s="1163"/>
      <c r="H62" s="1163"/>
      <c r="I62" s="1163"/>
      <c r="J62" s="1163"/>
      <c r="K62" s="1163"/>
      <c r="L62" s="1163"/>
      <c r="M62" s="1163"/>
      <c r="N62" s="1163"/>
      <c r="O62" s="1163"/>
      <c r="P62" s="1163"/>
      <c r="Q62" s="1163"/>
      <c r="R62" s="1163"/>
      <c r="S62" s="1163"/>
      <c r="T62" s="1163"/>
      <c r="U62" s="1163"/>
      <c r="V62" s="1163"/>
      <c r="W62" s="1163"/>
      <c r="X62" s="1163"/>
      <c r="Y62" s="1163"/>
      <c r="Z62" s="1163"/>
      <c r="AA62" s="1163"/>
      <c r="AB62" s="1163"/>
      <c r="AC62" s="1163"/>
      <c r="AD62" s="1163"/>
      <c r="AE62" s="1163"/>
      <c r="AF62" s="1163"/>
      <c r="AG62" s="1163"/>
      <c r="AH62" s="1163"/>
      <c r="AI62" s="1163"/>
      <c r="AJ62" s="1163"/>
      <c r="AK62" s="1163"/>
      <c r="AL62" s="1163"/>
      <c r="AM62" s="1163"/>
      <c r="AN62" s="1163"/>
      <c r="AO62" s="1163"/>
      <c r="AP62" s="1163"/>
      <c r="AQ62" s="1163"/>
      <c r="AR62" s="1163"/>
      <c r="AS62" s="42">
        <f t="shared" si="74"/>
        <v>0</v>
      </c>
      <c r="AT62" s="332"/>
      <c r="AY62" s="20">
        <f>Taimekasvatus!E98</f>
        <v>0</v>
      </c>
      <c r="AZ62" s="20" t="str">
        <f>Taimekasvatus!F98</f>
        <v>l/kg toodet</v>
      </c>
      <c r="BA62" s="20">
        <f>Taimekasvatus!G98</f>
        <v>0</v>
      </c>
      <c r="BB62" t="str">
        <f>IFERROR(VLOOKUP(AY62,'EFid TK'!$J$116:$L$165,3,FALSE),"0")</f>
        <v>0</v>
      </c>
      <c r="BC62">
        <f t="shared" si="75"/>
        <v>0</v>
      </c>
      <c r="BD62" s="21"/>
      <c r="BH62" s="20">
        <f>Loomakasvatus!B331</f>
        <v>0</v>
      </c>
      <c r="BI62">
        <f>Loomakasvatus!C331</f>
        <v>0</v>
      </c>
      <c r="BJ62">
        <f>Loomakasvatus!D331/1000</f>
        <v>0</v>
      </c>
      <c r="BK62" t="e">
        <f>INDEX('M1 - LK'!$A$302:$AC$369,MATCH(Loomakasvatus!C331,'M1 - LK'!$A$302:$A$369,0),MATCH(Loomakasvatus!B331,'M1 - LK'!$A$301:$AC$301,0))</f>
        <v>#N/A</v>
      </c>
      <c r="BL62">
        <f t="shared" si="77"/>
        <v>0</v>
      </c>
      <c r="BM62" s="21"/>
      <c r="BP62" s="20" t="str">
        <f>Loomakasvatus!B33</f>
        <v>Kasutatud soojusenergia liik 2</v>
      </c>
      <c r="BQ62">
        <f>Loomakasvatus!C33</f>
        <v>0</v>
      </c>
      <c r="BR62">
        <f>Loomakasvatus!D33</f>
        <v>0</v>
      </c>
      <c r="BS62">
        <f>IFERROR(VLOOKUP(BQ62,EFid!$A$3:$D$31,2,FALSE),0)</f>
        <v>0</v>
      </c>
      <c r="BT62">
        <f t="shared" ref="BT62:BT99" si="80">BS62*BR62</f>
        <v>0</v>
      </c>
      <c r="BU62" s="21"/>
      <c r="BW62" s="20" t="str">
        <f>Loomakasvatus!B499</f>
        <v>Kasutatud elektrienergia liik 2</v>
      </c>
      <c r="BX62">
        <f>Loomakasvatus!C499</f>
        <v>0</v>
      </c>
      <c r="BY62">
        <f>Loomakasvatus!D499</f>
        <v>0</v>
      </c>
      <c r="BZ62">
        <f>IFERROR(VLOOKUP(BX62,EFid!$A$3:$D$31,2,FALSE),0)</f>
        <v>0</v>
      </c>
      <c r="CA62">
        <f t="shared" si="79"/>
        <v>0</v>
      </c>
      <c r="CB62" s="21"/>
      <c r="CD62" s="20" t="s">
        <v>180</v>
      </c>
      <c r="CE62">
        <f>Loomakasvatus!D129</f>
        <v>0</v>
      </c>
      <c r="CF62" s="8">
        <f>EFid!$B$238+EFid!$B$239</f>
        <v>0.42100000000000004</v>
      </c>
      <c r="CG62" s="21">
        <f>CE62*CF62</f>
        <v>0</v>
      </c>
      <c r="CK62" t="s">
        <v>648</v>
      </c>
      <c r="CL62">
        <f>'Tootepõhine jalajälg'!X26</f>
        <v>0</v>
      </c>
      <c r="DJ62">
        <f>Tugitegevused!B76</f>
        <v>0</v>
      </c>
      <c r="DK62">
        <f>Tugitegevused!C76</f>
        <v>0</v>
      </c>
      <c r="DL62" t="str" cm="1">
        <f t="array" ref="DL62">IFERROR(VLOOKUP(DJ62:DJ62,EFid!$A$341:$B$360,2,FALSE),"0")</f>
        <v>0</v>
      </c>
      <c r="DM62">
        <f t="shared" si="59"/>
        <v>0</v>
      </c>
    </row>
    <row r="63" spans="1:118">
      <c r="A63" s="1342"/>
      <c r="B63" s="6" t="s">
        <v>639</v>
      </c>
      <c r="C63" t="s">
        <v>640</v>
      </c>
      <c r="E63" s="1162"/>
      <c r="F63" s="1162"/>
      <c r="G63" s="1162"/>
      <c r="H63" s="1162"/>
      <c r="I63" s="1162"/>
      <c r="J63" s="1162"/>
      <c r="K63" s="1162"/>
      <c r="L63" s="1162"/>
      <c r="M63" s="1162"/>
      <c r="N63" s="1162"/>
      <c r="O63" s="1162"/>
      <c r="P63" s="1162"/>
      <c r="Q63" s="1162"/>
      <c r="R63" s="1162"/>
      <c r="S63" s="1162"/>
      <c r="T63" s="1162"/>
      <c r="U63" s="1162"/>
      <c r="V63" s="1162"/>
      <c r="W63" s="1162"/>
      <c r="X63" s="1162"/>
      <c r="Y63" s="1162"/>
      <c r="Z63" s="1162"/>
      <c r="AA63" s="1162"/>
      <c r="AB63" s="1162"/>
      <c r="AC63" s="1162"/>
      <c r="AD63" s="1162"/>
      <c r="AE63" s="1162"/>
      <c r="AF63" s="1162"/>
      <c r="AG63" s="1162"/>
      <c r="AH63" s="1162"/>
      <c r="AI63" s="1162"/>
      <c r="AJ63" s="1162"/>
      <c r="AK63" s="1162"/>
      <c r="AL63" s="1162"/>
      <c r="AM63" s="1162"/>
      <c r="AN63" s="1162"/>
      <c r="AO63" s="1162"/>
      <c r="AP63" s="1162"/>
      <c r="AQ63" s="1162"/>
      <c r="AR63" s="1162"/>
      <c r="AS63" s="42">
        <f t="shared" si="74"/>
        <v>0</v>
      </c>
      <c r="AT63" s="332"/>
      <c r="AY63" s="20">
        <f>Taimekasvatus!E99</f>
        <v>0</v>
      </c>
      <c r="AZ63" s="20" t="str">
        <f>Taimekasvatus!F99</f>
        <v>l/kg toodet</v>
      </c>
      <c r="BA63" s="20">
        <f>Taimekasvatus!G99</f>
        <v>0</v>
      </c>
      <c r="BB63" t="str">
        <f>IFERROR(VLOOKUP(AY63,'EFid TK'!$J$116:$L$165,3,FALSE),"0")</f>
        <v>0</v>
      </c>
      <c r="BC63">
        <f t="shared" si="75"/>
        <v>0</v>
      </c>
      <c r="BD63" s="21"/>
      <c r="BH63" s="20">
        <f>Loomakasvatus!B332</f>
        <v>0</v>
      </c>
      <c r="BI63">
        <f>Loomakasvatus!C332</f>
        <v>0</v>
      </c>
      <c r="BJ63">
        <f>Loomakasvatus!D332/1000</f>
        <v>0</v>
      </c>
      <c r="BK63" t="e">
        <f>INDEX('M1 - LK'!$A$302:$AC$369,MATCH(Loomakasvatus!C332,'M1 - LK'!$A$302:$A$369,0),MATCH(Loomakasvatus!B332,'M1 - LK'!$A$301:$AC$301,0))</f>
        <v>#N/A</v>
      </c>
      <c r="BL63">
        <f t="shared" si="77"/>
        <v>0</v>
      </c>
      <c r="BM63" s="21"/>
      <c r="BP63" s="20" t="str">
        <f>Loomakasvatus!B34</f>
        <v>Kasutatud soojusenergia liik 3</v>
      </c>
      <c r="BQ63">
        <f>Loomakasvatus!C34</f>
        <v>0</v>
      </c>
      <c r="BR63">
        <f>Loomakasvatus!D34</f>
        <v>0</v>
      </c>
      <c r="BS63">
        <f>IFERROR(VLOOKUP(BQ63,EFid!$A$3:$D$31,2,FALSE),0)</f>
        <v>0</v>
      </c>
      <c r="BT63">
        <f t="shared" si="80"/>
        <v>0</v>
      </c>
      <c r="BU63" s="21"/>
      <c r="BW63" s="80" t="s">
        <v>534</v>
      </c>
      <c r="CA63">
        <f t="shared" si="79"/>
        <v>0</v>
      </c>
      <c r="CB63" s="21"/>
      <c r="CD63" s="20" t="s">
        <v>649</v>
      </c>
      <c r="CE63">
        <f>Loomakasvatus!D500</f>
        <v>0</v>
      </c>
      <c r="CF63" s="8">
        <f>EFid!$B$238+EFid!$B$239</f>
        <v>0.42100000000000004</v>
      </c>
      <c r="CG63" s="21">
        <f>CE63*CF63</f>
        <v>0</v>
      </c>
      <c r="CK63" t="s">
        <v>650</v>
      </c>
      <c r="CL63">
        <f>'Tootepõhine jalajälg'!AA26</f>
        <v>0</v>
      </c>
      <c r="DJ63">
        <f>Tugitegevused!B77</f>
        <v>0</v>
      </c>
      <c r="DK63">
        <f>Tugitegevused!C77</f>
        <v>0</v>
      </c>
      <c r="DL63" t="str" cm="1">
        <f t="array" ref="DL63">IFERROR(VLOOKUP(DJ63:DJ63,EFid!$A$341:$B$360,2,FALSE),"0")</f>
        <v>0</v>
      </c>
      <c r="DM63">
        <f t="shared" si="59"/>
        <v>0</v>
      </c>
    </row>
    <row r="64" spans="1:118">
      <c r="A64" s="1342"/>
      <c r="B64" s="6" t="s">
        <v>641</v>
      </c>
      <c r="C64" t="s">
        <v>642</v>
      </c>
      <c r="E64" s="1162"/>
      <c r="F64" s="1162"/>
      <c r="G64" s="1162"/>
      <c r="H64" s="1162"/>
      <c r="I64" s="1162"/>
      <c r="J64" s="1162"/>
      <c r="K64" s="1162"/>
      <c r="L64" s="1162"/>
      <c r="M64" s="1162"/>
      <c r="N64" s="1162"/>
      <c r="O64" s="1162"/>
      <c r="P64" s="1162"/>
      <c r="Q64" s="1162"/>
      <c r="R64" s="1162"/>
      <c r="S64" s="1162"/>
      <c r="T64" s="1162"/>
      <c r="U64" s="1162"/>
      <c r="V64" s="1162"/>
      <c r="W64" s="1162"/>
      <c r="X64" s="1162"/>
      <c r="Y64" s="1162"/>
      <c r="Z64" s="1162"/>
      <c r="AA64" s="1162"/>
      <c r="AB64" s="1162"/>
      <c r="AC64" s="1162"/>
      <c r="AD64" s="1162"/>
      <c r="AE64" s="1162"/>
      <c r="AF64" s="1162"/>
      <c r="AG64" s="1162"/>
      <c r="AH64" s="1162"/>
      <c r="AI64" s="1162"/>
      <c r="AJ64" s="1162"/>
      <c r="AK64" s="1162"/>
      <c r="AL64" s="1162"/>
      <c r="AM64" s="1162"/>
      <c r="AN64" s="1162"/>
      <c r="AO64" s="1162"/>
      <c r="AP64" s="1162"/>
      <c r="AQ64" s="1162"/>
      <c r="AR64" s="1162"/>
      <c r="AS64" s="42">
        <f t="shared" si="74"/>
        <v>0</v>
      </c>
      <c r="AT64" s="332"/>
      <c r="AY64" s="20">
        <f>Taimekasvatus!E100</f>
        <v>0</v>
      </c>
      <c r="AZ64" s="20" t="str">
        <f>Taimekasvatus!F100</f>
        <v>l/kg toodet</v>
      </c>
      <c r="BA64" s="20">
        <f>Taimekasvatus!G100</f>
        <v>0</v>
      </c>
      <c r="BB64" t="str">
        <f>IFERROR(VLOOKUP(AY64,'EFid TK'!$J$116:$L$165,3,FALSE),"0")</f>
        <v>0</v>
      </c>
      <c r="BC64">
        <f t="shared" si="75"/>
        <v>0</v>
      </c>
      <c r="BD64" s="21"/>
      <c r="BH64" s="20">
        <f>Loomakasvatus!B333</f>
        <v>0</v>
      </c>
      <c r="BI64">
        <f>Loomakasvatus!C333</f>
        <v>0</v>
      </c>
      <c r="BJ64">
        <f>Loomakasvatus!D333/1000</f>
        <v>0</v>
      </c>
      <c r="BK64" t="e">
        <f>INDEX('M1 - LK'!$A$302:$AC$369,MATCH(Loomakasvatus!C333,'M1 - LK'!$A$302:$A$369,0),MATCH(Loomakasvatus!B333,'M1 - LK'!$A$301:$AC$301,0))</f>
        <v>#N/A</v>
      </c>
      <c r="BL64">
        <f t="shared" si="77"/>
        <v>0</v>
      </c>
      <c r="BM64" s="21"/>
      <c r="BP64" s="20" t="str">
        <f>Loomakasvatus!B35</f>
        <v>Kasutatud elektrienergia liik 1</v>
      </c>
      <c r="BQ64">
        <f>Loomakasvatus!C35</f>
        <v>0</v>
      </c>
      <c r="BR64">
        <f>Loomakasvatus!D35</f>
        <v>0</v>
      </c>
      <c r="BS64">
        <f>IFERROR(VLOOKUP(BQ64,EFid!$A$3:$D$31,2,FALSE),0)</f>
        <v>0</v>
      </c>
      <c r="BT64">
        <f t="shared" si="80"/>
        <v>0</v>
      </c>
      <c r="BU64" s="445">
        <f>SUM(BT64:BT65)</f>
        <v>0</v>
      </c>
      <c r="BW64" s="20">
        <f>Loomakasvatus!B505</f>
        <v>0</v>
      </c>
      <c r="BX64">
        <f>Loomakasvatus!C505</f>
        <v>0</v>
      </c>
      <c r="BY64">
        <f>Loomakasvatus!D505/1000</f>
        <v>0</v>
      </c>
      <c r="BZ64" t="e">
        <f>INDEX('M1 - LK'!$A$301:$AC$369,MATCH(BX64,'M1 - LK'!$A$301:$A$369,0),MATCH(BW64,'M1 - LK'!$A$301:$AC$301,0))</f>
        <v>#N/A</v>
      </c>
      <c r="CA64">
        <f t="shared" ref="CA64:CA73" si="81">IFERROR(BZ64*BY64,0)</f>
        <v>0</v>
      </c>
      <c r="CB64" s="445">
        <f>SUM(CA64:CA77)*1000+SUM(CA90:CA101)+CO40</f>
        <v>0</v>
      </c>
      <c r="CD64" s="20" t="s">
        <v>183</v>
      </c>
      <c r="CE64">
        <f>Loomakasvatus!D588</f>
        <v>0</v>
      </c>
      <c r="CF64" s="8">
        <f>EFid!$B$238+EFid!$B$239</f>
        <v>0.42100000000000004</v>
      </c>
      <c r="CG64" s="21">
        <f>CE64*CF64</f>
        <v>0</v>
      </c>
      <c r="CK64" t="s">
        <v>651</v>
      </c>
      <c r="CL64">
        <f>'Tootepõhine jalajälg'!AD26</f>
        <v>0</v>
      </c>
      <c r="DJ64">
        <f>Tugitegevused!B78</f>
        <v>0</v>
      </c>
      <c r="DK64">
        <f>Tugitegevused!C78</f>
        <v>0</v>
      </c>
      <c r="DL64" t="str" cm="1">
        <f t="array" ref="DL64">IFERROR(VLOOKUP(DJ64:DJ64,EFid!$A$341:$B$360,2,FALSE),"0")</f>
        <v>0</v>
      </c>
      <c r="DM64">
        <f t="shared" si="59"/>
        <v>0</v>
      </c>
    </row>
    <row r="65" spans="1:125">
      <c r="B65" s="6" t="s">
        <v>652</v>
      </c>
      <c r="C65" t="s">
        <v>653</v>
      </c>
      <c r="E65" s="61">
        <f>'M1 - TK'!$B$14</f>
        <v>0.02</v>
      </c>
      <c r="F65" s="61">
        <f>'M1 - TK'!$B$14</f>
        <v>0.02</v>
      </c>
      <c r="G65" s="61">
        <f>'M1 - TK'!$B$14</f>
        <v>0.02</v>
      </c>
      <c r="H65" s="61">
        <f>'M1 - TK'!$B$14</f>
        <v>0.02</v>
      </c>
      <c r="I65" s="61">
        <f>'M1 - TK'!$B$14</f>
        <v>0.02</v>
      </c>
      <c r="J65" s="61">
        <f>'M1 - TK'!$B$14</f>
        <v>0.02</v>
      </c>
      <c r="K65" s="61">
        <f>'M1 - TK'!$B$14</f>
        <v>0.02</v>
      </c>
      <c r="L65" s="61">
        <f>'M1 - TK'!$B$14</f>
        <v>0.02</v>
      </c>
      <c r="M65" s="61">
        <f>'M1 - TK'!$B$14</f>
        <v>0.02</v>
      </c>
      <c r="N65" s="61">
        <f>'M1 - TK'!$B$14</f>
        <v>0.02</v>
      </c>
      <c r="O65" s="61">
        <f>'M1 - TK'!$B$14</f>
        <v>0.02</v>
      </c>
      <c r="P65" s="61">
        <f>'M1 - TK'!$B$14</f>
        <v>0.02</v>
      </c>
      <c r="Q65" s="61">
        <f>'M1 - TK'!$B$14</f>
        <v>0.02</v>
      </c>
      <c r="R65" s="61">
        <f>'M1 - TK'!$B$14</f>
        <v>0.02</v>
      </c>
      <c r="S65" s="61">
        <f>'M1 - TK'!$B$14</f>
        <v>0.02</v>
      </c>
      <c r="T65" s="61">
        <f>'M1 - TK'!$B$14</f>
        <v>0.02</v>
      </c>
      <c r="U65" s="61">
        <f>'M1 - TK'!$B$14</f>
        <v>0.02</v>
      </c>
      <c r="V65" s="61">
        <f>'M1 - TK'!$B$14</f>
        <v>0.02</v>
      </c>
      <c r="W65" s="61">
        <f>'M1 - TK'!$B$14</f>
        <v>0.02</v>
      </c>
      <c r="X65" s="61">
        <f>'M1 - TK'!$B$14</f>
        <v>0.02</v>
      </c>
      <c r="Y65" s="61">
        <f>'M1 - TK'!$B$14</f>
        <v>0.02</v>
      </c>
      <c r="Z65" s="61">
        <f>'M1 - TK'!$B$14</f>
        <v>0.02</v>
      </c>
      <c r="AA65" s="61">
        <f>'M1 - TK'!$B$14</f>
        <v>0.02</v>
      </c>
      <c r="AB65" s="61">
        <f>'M1 - TK'!$B$14</f>
        <v>0.02</v>
      </c>
      <c r="AC65" s="61">
        <f>'M1 - TK'!$B$14</f>
        <v>0.02</v>
      </c>
      <c r="AD65" s="61">
        <f>'M1 - TK'!$B$14</f>
        <v>0.02</v>
      </c>
      <c r="AE65" s="61">
        <f>'M1 - TK'!$B$14</f>
        <v>0.02</v>
      </c>
      <c r="AF65" s="61">
        <f>'M1 - TK'!$B$14</f>
        <v>0.02</v>
      </c>
      <c r="AG65" s="61">
        <f>'M1 - TK'!$B$14</f>
        <v>0.02</v>
      </c>
      <c r="AH65" s="61">
        <f>'M1 - TK'!$B$14</f>
        <v>0.02</v>
      </c>
      <c r="AI65" s="61">
        <f>'M1 - TK'!$B$14</f>
        <v>0.02</v>
      </c>
      <c r="AJ65" s="61">
        <f>'M1 - TK'!$B$14</f>
        <v>0.02</v>
      </c>
      <c r="AK65" s="61">
        <f>'M1 - TK'!$B$14</f>
        <v>0.02</v>
      </c>
      <c r="AL65" s="61">
        <f>'M1 - TK'!$B$14</f>
        <v>0.02</v>
      </c>
      <c r="AM65" s="61">
        <f>'M1 - TK'!$B$14</f>
        <v>0.02</v>
      </c>
      <c r="AN65" s="61">
        <f>'M1 - TK'!$B$14</f>
        <v>0.02</v>
      </c>
      <c r="AO65" s="61">
        <f>'M1 - TK'!$B$14</f>
        <v>0.02</v>
      </c>
      <c r="AP65" s="61">
        <f>'M1 - TK'!$B$14</f>
        <v>0.02</v>
      </c>
      <c r="AQ65" s="61">
        <f>'M1 - TK'!$B$14</f>
        <v>0.02</v>
      </c>
      <c r="AR65" s="61">
        <f>'M1 - TK'!$B$14</f>
        <v>0.02</v>
      </c>
      <c r="AS65" s="42">
        <f t="shared" si="74"/>
        <v>0.80000000000000038</v>
      </c>
      <c r="AY65" s="20" t="str">
        <f>Taimekasvatus!E101</f>
        <v>Toode</v>
      </c>
      <c r="AZ65" s="20" t="str">
        <f>Taimekasvatus!F101</f>
        <v>Kogus</v>
      </c>
      <c r="BA65" s="20" t="str">
        <f>Taimekasvatus!G101</f>
        <v>Heitetegur (kg CO2-ekv/kg)</v>
      </c>
      <c r="BD65" s="21"/>
      <c r="BH65" s="20">
        <f>Loomakasvatus!B334</f>
        <v>0</v>
      </c>
      <c r="BI65">
        <f>Loomakasvatus!C334</f>
        <v>0</v>
      </c>
      <c r="BJ65">
        <f>Loomakasvatus!D334/1000</f>
        <v>0</v>
      </c>
      <c r="BK65" t="e">
        <f>INDEX('M1 - LK'!$A$302:$AC$369,MATCH(Loomakasvatus!C334,'M1 - LK'!$A$302:$A$369,0),MATCH(Loomakasvatus!B334,'M1 - LK'!$A$301:$AC$301,0))</f>
        <v>#N/A</v>
      </c>
      <c r="BL65">
        <f t="shared" si="77"/>
        <v>0</v>
      </c>
      <c r="BM65" s="21"/>
      <c r="BP65" s="20" t="str">
        <f>Loomakasvatus!B36</f>
        <v>Kasutatud elektrienergia liik 2</v>
      </c>
      <c r="BQ65">
        <f>Loomakasvatus!C36</f>
        <v>0</v>
      </c>
      <c r="BR65">
        <f>Loomakasvatus!D36</f>
        <v>0</v>
      </c>
      <c r="BS65">
        <f>IFERROR(VLOOKUP(BQ65,EFid!$A$3:$D$31,2,FALSE),0)</f>
        <v>0</v>
      </c>
      <c r="BT65">
        <f t="shared" si="80"/>
        <v>0</v>
      </c>
      <c r="BU65" s="21"/>
      <c r="BW65" s="20">
        <f>Loomakasvatus!B506</f>
        <v>0</v>
      </c>
      <c r="BX65">
        <f>Loomakasvatus!C506</f>
        <v>0</v>
      </c>
      <c r="BY65">
        <f>Loomakasvatus!D506/1000</f>
        <v>0</v>
      </c>
      <c r="BZ65" t="e">
        <f>INDEX('M1 - LK'!$A$301:$AC$369,MATCH(BX65,'M1 - LK'!$A$301:$A$369,0),MATCH(BW65,'M1 - LK'!$A$301:$AC$301,0))</f>
        <v>#N/A</v>
      </c>
      <c r="CA65">
        <f t="shared" si="81"/>
        <v>0</v>
      </c>
      <c r="CB65" s="21"/>
      <c r="CD65" s="20" t="s">
        <v>185</v>
      </c>
      <c r="CE65">
        <f>Loomakasvatus!D37</f>
        <v>0</v>
      </c>
      <c r="CF65" s="8">
        <f>EFid!$B$238+EFid!$B$239</f>
        <v>0.42100000000000004</v>
      </c>
      <c r="CG65" s="21">
        <f>CE65*CF65</f>
        <v>0</v>
      </c>
      <c r="CK65" t="s">
        <v>654</v>
      </c>
      <c r="CL65">
        <f>'Tootepõhine jalajälg'!AG26</f>
        <v>0</v>
      </c>
      <c r="DJ65">
        <f>Tugitegevused!B79</f>
        <v>0</v>
      </c>
      <c r="DK65">
        <f>Tugitegevused!C79</f>
        <v>0</v>
      </c>
      <c r="DL65" t="str" cm="1">
        <f t="array" ref="DL65">IFERROR(VLOOKUP(DJ65:DJ65,EFid!$A$341:$B$360,2,FALSE),"0")</f>
        <v>0</v>
      </c>
      <c r="DM65">
        <f t="shared" si="59"/>
        <v>0</v>
      </c>
    </row>
    <row r="66" spans="1:125" ht="15" thickBot="1">
      <c r="B66" s="7" t="s">
        <v>655</v>
      </c>
      <c r="C66" s="8" t="s">
        <v>656</v>
      </c>
      <c r="D66" s="8"/>
      <c r="E66" s="61">
        <f>'M1 - TK'!$B$15</f>
        <v>0.01</v>
      </c>
      <c r="F66" s="61">
        <f>'M1 - TK'!$B$15</f>
        <v>0.01</v>
      </c>
      <c r="G66" s="61">
        <f>'M1 - TK'!$B$15</f>
        <v>0.01</v>
      </c>
      <c r="H66" s="61">
        <f>'M1 - TK'!$B$15</f>
        <v>0.01</v>
      </c>
      <c r="I66" s="61">
        <f>'M1 - TK'!$B$15</f>
        <v>0.01</v>
      </c>
      <c r="J66" s="61">
        <f>'M1 - TK'!$B$15</f>
        <v>0.01</v>
      </c>
      <c r="K66" s="61">
        <f>'M1 - TK'!$B$15</f>
        <v>0.01</v>
      </c>
      <c r="L66" s="61">
        <f>'M1 - TK'!$B$15</f>
        <v>0.01</v>
      </c>
      <c r="M66" s="61">
        <f>'M1 - TK'!$B$15</f>
        <v>0.01</v>
      </c>
      <c r="N66" s="61">
        <f>'M1 - TK'!$B$15</f>
        <v>0.01</v>
      </c>
      <c r="O66" s="61">
        <f>'M1 - TK'!$B$15</f>
        <v>0.01</v>
      </c>
      <c r="P66" s="61">
        <f>'M1 - TK'!$B$15</f>
        <v>0.01</v>
      </c>
      <c r="Q66" s="61">
        <f>'M1 - TK'!$B$15</f>
        <v>0.01</v>
      </c>
      <c r="R66" s="61">
        <f>'M1 - TK'!$B$15</f>
        <v>0.01</v>
      </c>
      <c r="S66" s="61">
        <f>'M1 - TK'!$B$15</f>
        <v>0.01</v>
      </c>
      <c r="T66" s="61">
        <f>'M1 - TK'!$B$15</f>
        <v>0.01</v>
      </c>
      <c r="U66" s="61">
        <f>'M1 - TK'!$B$15</f>
        <v>0.01</v>
      </c>
      <c r="V66" s="61">
        <f>'M1 - TK'!$B$15</f>
        <v>0.01</v>
      </c>
      <c r="W66" s="61">
        <f>'M1 - TK'!$B$15</f>
        <v>0.01</v>
      </c>
      <c r="X66" s="61">
        <f>'M1 - TK'!$B$15</f>
        <v>0.01</v>
      </c>
      <c r="Y66" s="61">
        <f>'M1 - TK'!$B$15</f>
        <v>0.01</v>
      </c>
      <c r="Z66" s="61">
        <f>'M1 - TK'!$B$15</f>
        <v>0.01</v>
      </c>
      <c r="AA66" s="61">
        <f>'M1 - TK'!$B$15</f>
        <v>0.01</v>
      </c>
      <c r="AB66" s="61">
        <f>'M1 - TK'!$B$15</f>
        <v>0.01</v>
      </c>
      <c r="AC66" s="61">
        <f>'M1 - TK'!$B$15</f>
        <v>0.01</v>
      </c>
      <c r="AD66" s="61">
        <f>'M1 - TK'!$B$15</f>
        <v>0.01</v>
      </c>
      <c r="AE66" s="61">
        <f>'M1 - TK'!$B$15</f>
        <v>0.01</v>
      </c>
      <c r="AF66" s="61">
        <f>'M1 - TK'!$B$15</f>
        <v>0.01</v>
      </c>
      <c r="AG66" s="61">
        <f>'M1 - TK'!$B$15</f>
        <v>0.01</v>
      </c>
      <c r="AH66" s="61">
        <f>'M1 - TK'!$B$15</f>
        <v>0.01</v>
      </c>
      <c r="AI66" s="61">
        <f>'M1 - TK'!$B$15</f>
        <v>0.01</v>
      </c>
      <c r="AJ66" s="61">
        <f>'M1 - TK'!$B$15</f>
        <v>0.01</v>
      </c>
      <c r="AK66" s="61">
        <f>'M1 - TK'!$B$15</f>
        <v>0.01</v>
      </c>
      <c r="AL66" s="61">
        <f>'M1 - TK'!$B$15</f>
        <v>0.01</v>
      </c>
      <c r="AM66" s="61">
        <f>'M1 - TK'!$B$15</f>
        <v>0.01</v>
      </c>
      <c r="AN66" s="61">
        <f>'M1 - TK'!$B$15</f>
        <v>0.01</v>
      </c>
      <c r="AO66" s="61">
        <f>'M1 - TK'!$B$15</f>
        <v>0.01</v>
      </c>
      <c r="AP66" s="61">
        <f>'M1 - TK'!$B$15</f>
        <v>0.01</v>
      </c>
      <c r="AQ66" s="61">
        <f>'M1 - TK'!$B$15</f>
        <v>0.01</v>
      </c>
      <c r="AR66" s="61">
        <f>'M1 - TK'!$B$15</f>
        <v>0.01</v>
      </c>
      <c r="AS66" s="42">
        <f t="shared" si="74"/>
        <v>0.40000000000000019</v>
      </c>
      <c r="AY66" s="20">
        <f>Taimekasvatus!E102</f>
        <v>0</v>
      </c>
      <c r="AZ66" s="20">
        <f>Taimekasvatus!F102</f>
        <v>0</v>
      </c>
      <c r="BA66" s="20">
        <f>Taimekasvatus!G102</f>
        <v>0</v>
      </c>
      <c r="BC66">
        <f>AZ66*BA66</f>
        <v>0</v>
      </c>
      <c r="BD66" s="21"/>
      <c r="BH66" s="20">
        <f>Loomakasvatus!B335</f>
        <v>0</v>
      </c>
      <c r="BI66">
        <f>Loomakasvatus!C335</f>
        <v>0</v>
      </c>
      <c r="BJ66">
        <f>Loomakasvatus!D335/1000</f>
        <v>0</v>
      </c>
      <c r="BK66" t="e">
        <f>INDEX('M1 - LK'!$A$302:$AC$369,MATCH(Loomakasvatus!C335,'M1 - LK'!$A$302:$A$369,0),MATCH(Loomakasvatus!B335,'M1 - LK'!$A$301:$AC$301,0))</f>
        <v>#N/A</v>
      </c>
      <c r="BL66">
        <f t="shared" si="77"/>
        <v>0</v>
      </c>
      <c r="BM66" s="21"/>
      <c r="BP66" s="80" t="s">
        <v>534</v>
      </c>
      <c r="BT66">
        <f t="shared" si="80"/>
        <v>0</v>
      </c>
      <c r="BU66" s="445">
        <f>SUM(BT67:BT79)*1000+SUM(BT91:BT103)+CO6</f>
        <v>0</v>
      </c>
      <c r="BW66" s="20">
        <f>Loomakasvatus!B507</f>
        <v>0</v>
      </c>
      <c r="BX66">
        <f>Loomakasvatus!C507</f>
        <v>0</v>
      </c>
      <c r="BY66">
        <f>Loomakasvatus!D507/1000</f>
        <v>0</v>
      </c>
      <c r="BZ66" t="e">
        <f>INDEX('M1 - LK'!$A$301:$AC$369,MATCH(BX66,'M1 - LK'!$A$301:$A$369,0),MATCH(BW66,'M1 - LK'!$A$301:$AC$301,0))</f>
        <v>#N/A</v>
      </c>
      <c r="CA66">
        <f t="shared" si="81"/>
        <v>0</v>
      </c>
      <c r="CB66" s="21"/>
      <c r="CD66" s="58" t="s">
        <v>181</v>
      </c>
      <c r="CE66" s="36">
        <f>Loomakasvatus!D412</f>
        <v>0</v>
      </c>
      <c r="CF66" s="36">
        <f>EFid!$B$238+EFid!$B$239</f>
        <v>0.42100000000000004</v>
      </c>
      <c r="CG66" s="37">
        <f>CE66*CF66</f>
        <v>0</v>
      </c>
      <c r="CK66" s="6" t="s">
        <v>657</v>
      </c>
      <c r="CL66">
        <f>SUM(Tootep_kalk!CX36:CX54)</f>
        <v>0</v>
      </c>
      <c r="DJ66">
        <f>Tugitegevused!B80</f>
        <v>0</v>
      </c>
      <c r="DK66">
        <f>Tugitegevused!C80</f>
        <v>0</v>
      </c>
      <c r="DL66" t="str" cm="1">
        <f t="array" ref="DL66">IFERROR(VLOOKUP(DJ66:DJ66,EFid!$A$341:$B$360,2,FALSE),"0")</f>
        <v>0</v>
      </c>
      <c r="DM66">
        <f t="shared" si="59"/>
        <v>0</v>
      </c>
    </row>
    <row r="67" spans="1:125">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42">
        <f t="shared" si="74"/>
        <v>0</v>
      </c>
      <c r="AY67" s="20">
        <f>Taimekasvatus!E103</f>
        <v>0</v>
      </c>
      <c r="AZ67" s="20">
        <f>Taimekasvatus!F103</f>
        <v>0</v>
      </c>
      <c r="BA67" s="20">
        <f>Taimekasvatus!G103</f>
        <v>0</v>
      </c>
      <c r="BC67">
        <f t="shared" ref="BC67:BC68" si="82">AZ67*BA67</f>
        <v>0</v>
      </c>
      <c r="BD67" s="21"/>
      <c r="BH67" s="20">
        <f>Loomakasvatus!B336</f>
        <v>0</v>
      </c>
      <c r="BI67">
        <f>Loomakasvatus!C336</f>
        <v>0</v>
      </c>
      <c r="BJ67">
        <f>Loomakasvatus!D336/1000</f>
        <v>0</v>
      </c>
      <c r="BK67" t="e">
        <f>INDEX('M1 - LK'!$A$302:$AC$369,MATCH(Loomakasvatus!C336,'M1 - LK'!$A$302:$A$369,0),MATCH(Loomakasvatus!B336,'M1 - LK'!$A$301:$AC$301,0))</f>
        <v>#N/A</v>
      </c>
      <c r="BL67">
        <f t="shared" ref="BL67:BL70" si="83">IFERROR(BK67*BJ67,0)</f>
        <v>0</v>
      </c>
      <c r="BM67" s="21"/>
      <c r="BP67" s="20">
        <f>Loomakasvatus!B42</f>
        <v>0</v>
      </c>
      <c r="BQ67">
        <f>Loomakasvatus!C42</f>
        <v>0</v>
      </c>
      <c r="BR67">
        <f>Loomakasvatus!D42/1000</f>
        <v>0</v>
      </c>
      <c r="BS67" t="e">
        <f>INDEX('M1 - LK'!$A$301:$AC$369,MATCH(Loomakasvatus!C42,'M1 - LK'!$A$301:$A$369,0),MATCH(Loomakasvatus!B42,'M1 - LK'!$A$301:$AC$301,0))</f>
        <v>#N/A</v>
      </c>
      <c r="BT67">
        <f t="shared" ref="BT67:BT75" si="84">IFERROR(BS67*BR67,0)</f>
        <v>0</v>
      </c>
      <c r="BU67" s="21"/>
      <c r="BW67" s="20">
        <f>Loomakasvatus!B508</f>
        <v>0</v>
      </c>
      <c r="BX67">
        <f>Loomakasvatus!C508</f>
        <v>0</v>
      </c>
      <c r="BY67">
        <f>Loomakasvatus!D508/1000</f>
        <v>0</v>
      </c>
      <c r="BZ67" t="e">
        <f>INDEX('M1 - LK'!$A$301:$AC$369,MATCH(BX67,'M1 - LK'!$A$301:$A$369,0),MATCH(BW67,'M1 - LK'!$A$301:$AC$301,0))</f>
        <v>#N/A</v>
      </c>
      <c r="CA67">
        <f t="shared" si="81"/>
        <v>0</v>
      </c>
      <c r="CB67" s="21"/>
      <c r="CK67" t="s">
        <v>658</v>
      </c>
      <c r="CL67">
        <f>SUM(Tootep_kalk!DC36:DC54)</f>
        <v>0</v>
      </c>
      <c r="DJ67">
        <f>Tugitegevused!B81</f>
        <v>0</v>
      </c>
      <c r="DK67">
        <f>Tugitegevused!C81</f>
        <v>0</v>
      </c>
      <c r="DL67" t="str" cm="1">
        <f t="array" ref="DL67">IFERROR(VLOOKUP(DJ67:DJ67,EFid!$A$341:$B$360,2,FALSE),"0")</f>
        <v>0</v>
      </c>
      <c r="DM67">
        <f t="shared" si="59"/>
        <v>0</v>
      </c>
    </row>
    <row r="68" spans="1:125">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42">
        <f t="shared" si="74"/>
        <v>0</v>
      </c>
      <c r="AY68" s="20">
        <f>Taimekasvatus!E104</f>
        <v>0</v>
      </c>
      <c r="AZ68" s="20">
        <f>Taimekasvatus!F104</f>
        <v>0</v>
      </c>
      <c r="BA68" s="20">
        <f>Taimekasvatus!G104</f>
        <v>0</v>
      </c>
      <c r="BC68">
        <f t="shared" si="82"/>
        <v>0</v>
      </c>
      <c r="BD68" s="21"/>
      <c r="BH68" s="20">
        <f>Loomakasvatus!B337</f>
        <v>0</v>
      </c>
      <c r="BI68">
        <f>Loomakasvatus!C337</f>
        <v>0</v>
      </c>
      <c r="BJ68">
        <f>Loomakasvatus!D337/1000</f>
        <v>0</v>
      </c>
      <c r="BK68" t="e">
        <f>INDEX('M1 - LK'!$A$302:$AC$369,MATCH(Loomakasvatus!C337,'M1 - LK'!$A$302:$A$369,0),MATCH(Loomakasvatus!B337,'M1 - LK'!$A$301:$AC$301,0))</f>
        <v>#N/A</v>
      </c>
      <c r="BL68">
        <f t="shared" si="83"/>
        <v>0</v>
      </c>
      <c r="BM68" s="21"/>
      <c r="BP68" s="20">
        <f>Loomakasvatus!B43</f>
        <v>0</v>
      </c>
      <c r="BQ68">
        <f>Loomakasvatus!C43</f>
        <v>0</v>
      </c>
      <c r="BR68">
        <f>Loomakasvatus!D43/1000</f>
        <v>0</v>
      </c>
      <c r="BS68" t="e">
        <f>INDEX('M1 - LK'!$A$301:$AC$369,MATCH(Loomakasvatus!C43,'M1 - LK'!$A$301:$A$369,0),MATCH(Loomakasvatus!B43,'M1 - LK'!$A$301:$AC$301,0))</f>
        <v>#N/A</v>
      </c>
      <c r="BT68">
        <f t="shared" si="84"/>
        <v>0</v>
      </c>
      <c r="BU68" s="21"/>
      <c r="BW68" s="20">
        <f>Loomakasvatus!B509</f>
        <v>0</v>
      </c>
      <c r="BX68">
        <f>Loomakasvatus!C509</f>
        <v>0</v>
      </c>
      <c r="BY68">
        <f>Loomakasvatus!D509/1000</f>
        <v>0</v>
      </c>
      <c r="BZ68" t="e">
        <f>INDEX('M1 - LK'!$A$301:$AC$369,MATCH(BX68,'M1 - LK'!$A$301:$A$369,0),MATCH(BW68,'M1 - LK'!$A$301:$AC$301,0))</f>
        <v>#N/A</v>
      </c>
      <c r="CA68">
        <f t="shared" si="81"/>
        <v>0</v>
      </c>
      <c r="CB68" s="21"/>
      <c r="CK68" t="s">
        <v>659</v>
      </c>
      <c r="CL68">
        <f>SUM(Tootep_kalk!DH36:DH54)</f>
        <v>0</v>
      </c>
      <c r="DJ68">
        <f>Tugitegevused!B82</f>
        <v>0</v>
      </c>
      <c r="DK68">
        <f>Tugitegevused!C82</f>
        <v>0</v>
      </c>
      <c r="DL68" t="str" cm="1">
        <f t="array" ref="DL68">IFERROR(VLOOKUP(DJ68:DJ68,EFid!$A$341:$B$360,2,FALSE),"0")</f>
        <v>0</v>
      </c>
      <c r="DM68">
        <f t="shared" si="59"/>
        <v>0</v>
      </c>
    </row>
    <row r="69" spans="1:125" ht="15" thickBot="1">
      <c r="B69" s="128" t="s">
        <v>422</v>
      </c>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42">
        <f t="shared" si="74"/>
        <v>0</v>
      </c>
      <c r="AY69" s="20" t="str">
        <f>Taimekasvatus!D105</f>
        <v>Soetatud insektitsiidid</v>
      </c>
      <c r="AZ69" s="20" t="str">
        <f>Taimekasvatus!F105</f>
        <v>Ühik</v>
      </c>
      <c r="BA69" s="20" t="str">
        <f>Taimekasvatus!G105</f>
        <v>Kogus</v>
      </c>
      <c r="BD69" s="21" t="s">
        <v>660</v>
      </c>
      <c r="BH69" s="20">
        <f>Loomakasvatus!B338</f>
        <v>0</v>
      </c>
      <c r="BI69">
        <f>Loomakasvatus!C338</f>
        <v>0</v>
      </c>
      <c r="BJ69">
        <f>Loomakasvatus!D338/1000</f>
        <v>0</v>
      </c>
      <c r="BK69" t="e">
        <f>INDEX('M1 - LK'!$A$302:$AC$369,MATCH(Loomakasvatus!C338,'M1 - LK'!$A$302:$A$369,0),MATCH(Loomakasvatus!B338,'M1 - LK'!$A$301:$AC$301,0))</f>
        <v>#N/A</v>
      </c>
      <c r="BL69">
        <f t="shared" si="83"/>
        <v>0</v>
      </c>
      <c r="BM69" s="21"/>
      <c r="BP69" s="20">
        <f>Loomakasvatus!B44</f>
        <v>0</v>
      </c>
      <c r="BQ69">
        <f>Loomakasvatus!C44</f>
        <v>0</v>
      </c>
      <c r="BR69">
        <f>Loomakasvatus!D44/1000</f>
        <v>0</v>
      </c>
      <c r="BS69" t="e">
        <f>INDEX('M1 - LK'!$A$301:$AC$369,MATCH(Loomakasvatus!C44,'M1 - LK'!$A$301:$A$369,0),MATCH(Loomakasvatus!B44,'M1 - LK'!$A$301:$AC$301,0))</f>
        <v>#N/A</v>
      </c>
      <c r="BT69">
        <f t="shared" si="84"/>
        <v>0</v>
      </c>
      <c r="BU69" s="21"/>
      <c r="BW69" s="20">
        <f>Loomakasvatus!B510</f>
        <v>0</v>
      </c>
      <c r="BX69">
        <f>Loomakasvatus!C510</f>
        <v>0</v>
      </c>
      <c r="BY69">
        <f>Loomakasvatus!D510/1000</f>
        <v>0</v>
      </c>
      <c r="BZ69" t="e">
        <f>INDEX('M1 - LK'!$A$301:$AC$369,MATCH(BX69,'M1 - LK'!$A$301:$A$369,0),MATCH(BW69,'M1 - LK'!$A$301:$AC$301,0))</f>
        <v>#N/A</v>
      </c>
      <c r="CA69">
        <f t="shared" si="81"/>
        <v>0</v>
      </c>
      <c r="CB69" s="21"/>
      <c r="CK69" t="s">
        <v>661</v>
      </c>
      <c r="CL69">
        <f>SUM(Tootep_kalk!DM36:DM54)</f>
        <v>0</v>
      </c>
      <c r="DJ69">
        <f>Tugitegevused!B83</f>
        <v>0</v>
      </c>
      <c r="DK69">
        <f>Tugitegevused!C83</f>
        <v>0</v>
      </c>
      <c r="DL69" t="str" cm="1">
        <f t="array" ref="DL69">IFERROR(VLOOKUP(DJ69:DJ69,EFid!$A$341:$B$360,2,FALSE),"0")</f>
        <v>0</v>
      </c>
      <c r="DM69">
        <f t="shared" si="59"/>
        <v>0</v>
      </c>
      <c r="DP69" s="1" t="s">
        <v>662</v>
      </c>
    </row>
    <row r="70" spans="1:125" ht="15" thickBot="1">
      <c r="A70" t="s">
        <v>663</v>
      </c>
      <c r="B70" s="55" t="s">
        <v>664</v>
      </c>
      <c r="C70" s="56"/>
      <c r="D70" s="56"/>
      <c r="E70" s="130">
        <f>E71*'M1 - TK'!$B$35</f>
        <v>0</v>
      </c>
      <c r="F70" s="130">
        <f>F71*'M1 - TK'!$B$35</f>
        <v>0</v>
      </c>
      <c r="G70" s="130">
        <f>G71*'M1 - TK'!$B$35</f>
        <v>0</v>
      </c>
      <c r="H70" s="130">
        <f>H71*'M1 - TK'!$B$35</f>
        <v>0</v>
      </c>
      <c r="I70" s="130">
        <f>I71*'M1 - TK'!$B$35</f>
        <v>0</v>
      </c>
      <c r="J70" s="130">
        <f>J71*'M1 - TK'!$B$35</f>
        <v>0</v>
      </c>
      <c r="K70" s="130">
        <f>K71*'M1 - TK'!$B$35</f>
        <v>0</v>
      </c>
      <c r="L70" s="130">
        <f>L71*'M1 - TK'!$B$35</f>
        <v>0</v>
      </c>
      <c r="M70" s="130">
        <f>M71*'M1 - TK'!$B$35</f>
        <v>0</v>
      </c>
      <c r="N70" s="130">
        <f>N71*'M1 - TK'!$B$35</f>
        <v>0</v>
      </c>
      <c r="O70" s="130">
        <f>O71*'M1 - TK'!$B$35</f>
        <v>0</v>
      </c>
      <c r="P70" s="130">
        <f>P71*'M1 - TK'!$B$35</f>
        <v>0</v>
      </c>
      <c r="Q70" s="130">
        <f>Q71*'M1 - TK'!$B$35</f>
        <v>0</v>
      </c>
      <c r="R70" s="130">
        <f>R71*'M1 - TK'!$B$35</f>
        <v>0</v>
      </c>
      <c r="S70" s="130">
        <f>S71*'M1 - TK'!$B$35</f>
        <v>0</v>
      </c>
      <c r="T70" s="130">
        <f>T71*'M1 - TK'!$B$35</f>
        <v>0</v>
      </c>
      <c r="U70" s="130">
        <f>U71*'M1 - TK'!$B$35</f>
        <v>0</v>
      </c>
      <c r="V70" s="130">
        <f>V71*'M1 - TK'!$B$35</f>
        <v>0</v>
      </c>
      <c r="W70" s="130">
        <f>W71*'M1 - TK'!$B$35</f>
        <v>0</v>
      </c>
      <c r="X70" s="130">
        <f>X71*'M1 - TK'!$B$35</f>
        <v>0</v>
      </c>
      <c r="Y70" s="130">
        <f>Y71*'M1 - TK'!$B$35</f>
        <v>0</v>
      </c>
      <c r="Z70" s="130">
        <f>Z71*'M1 - TK'!$B$35</f>
        <v>0</v>
      </c>
      <c r="AA70" s="130">
        <f>AA71*'M1 - TK'!$B$35</f>
        <v>0</v>
      </c>
      <c r="AB70" s="130">
        <f>AB71*'M1 - TK'!$B$35</f>
        <v>0</v>
      </c>
      <c r="AC70" s="130">
        <f>AC71*'M1 - TK'!$B$35</f>
        <v>0</v>
      </c>
      <c r="AD70" s="130">
        <f>AD71*'M1 - TK'!$B$35</f>
        <v>0</v>
      </c>
      <c r="AE70" s="130">
        <f>AE71*'M1 - TK'!$B$35</f>
        <v>0</v>
      </c>
      <c r="AF70" s="130">
        <f>AF71*'M1 - TK'!$B$35</f>
        <v>0</v>
      </c>
      <c r="AG70" s="130">
        <f>AG71*'M1 - TK'!$B$35</f>
        <v>0</v>
      </c>
      <c r="AH70" s="130">
        <f>AH71*'M1 - TK'!$B$35</f>
        <v>0</v>
      </c>
      <c r="AI70" s="130">
        <f>AI71*'M1 - TK'!$B$35</f>
        <v>0</v>
      </c>
      <c r="AJ70" s="130">
        <f>AJ71*'M1 - TK'!$B$35</f>
        <v>0</v>
      </c>
      <c r="AK70" s="130">
        <f>AK71*'M1 - TK'!$B$35</f>
        <v>0</v>
      </c>
      <c r="AL70" s="130">
        <f>AL71*'M1 - TK'!$B$35</f>
        <v>0</v>
      </c>
      <c r="AM70" s="130">
        <f>AM71*'M1 - TK'!$B$35</f>
        <v>0</v>
      </c>
      <c r="AN70" s="130">
        <f>AN71*'M1 - TK'!$B$35</f>
        <v>0</v>
      </c>
      <c r="AO70" s="130">
        <f>AO71*'M1 - TK'!$B$35</f>
        <v>0</v>
      </c>
      <c r="AP70" s="130">
        <f>AP71*'M1 - TK'!$B$35</f>
        <v>0</v>
      </c>
      <c r="AQ70" s="130">
        <f>AQ71*'M1 - TK'!$B$35</f>
        <v>0</v>
      </c>
      <c r="AR70" s="130">
        <f>AR71*'M1 - TK'!$B$35</f>
        <v>0</v>
      </c>
      <c r="AS70" s="443">
        <f t="shared" si="74"/>
        <v>0</v>
      </c>
      <c r="AT70" t="s">
        <v>663</v>
      </c>
      <c r="AY70" s="20">
        <f>Taimekasvatus!E106</f>
        <v>0</v>
      </c>
      <c r="AZ70" s="20" t="str">
        <f>Taimekasvatus!F106</f>
        <v>l/kg toodet</v>
      </c>
      <c r="BA70" s="20">
        <f>Taimekasvatus!G106</f>
        <v>0</v>
      </c>
      <c r="BB70" t="str">
        <f>IFERROR(VLOOKUP(AY70,'EFid TK'!$J$192:$L$196,3,FALSE),"0")</f>
        <v>0</v>
      </c>
      <c r="BC70">
        <f>BA70*BB70</f>
        <v>0</v>
      </c>
      <c r="BD70" s="445">
        <f>SUM(BC70:BC79)</f>
        <v>0</v>
      </c>
      <c r="BH70" s="20">
        <f>Loomakasvatus!B341</f>
        <v>0</v>
      </c>
      <c r="BI70">
        <f>Loomakasvatus!C341</f>
        <v>0</v>
      </c>
      <c r="BJ70">
        <f>Loomakasvatus!D339/1000</f>
        <v>0</v>
      </c>
      <c r="BK70" t="e">
        <f>INDEX('M1 - LK'!$A$302:$AC$369,MATCH(Loomakasvatus!C339,'M1 - LK'!$A$302:$A$369,0),MATCH(Loomakasvatus!B339,'M1 - LK'!$A$301:$AC$301,0))</f>
        <v>#N/A</v>
      </c>
      <c r="BL70">
        <f t="shared" si="83"/>
        <v>0</v>
      </c>
      <c r="BM70" s="21"/>
      <c r="BP70" s="20">
        <f>Loomakasvatus!B45</f>
        <v>0</v>
      </c>
      <c r="BQ70">
        <f>Loomakasvatus!C45</f>
        <v>0</v>
      </c>
      <c r="BR70">
        <f>Loomakasvatus!D45/1000</f>
        <v>0</v>
      </c>
      <c r="BS70" t="e">
        <f>INDEX('M1 - LK'!$A$301:$AC$369,MATCH(Loomakasvatus!C45,'M1 - LK'!$A$301:$A$369,0),MATCH(Loomakasvatus!B45,'M1 - LK'!$A$301:$AC$301,0))</f>
        <v>#N/A</v>
      </c>
      <c r="BT70">
        <f t="shared" si="84"/>
        <v>0</v>
      </c>
      <c r="BU70" s="21"/>
      <c r="BW70" s="20">
        <f>Loomakasvatus!B511</f>
        <v>0</v>
      </c>
      <c r="BX70">
        <f>Loomakasvatus!C511</f>
        <v>0</v>
      </c>
      <c r="BY70">
        <f>Loomakasvatus!D511/1000</f>
        <v>0</v>
      </c>
      <c r="BZ70" t="e">
        <f>INDEX('M1 - LK'!$A$301:$AC$369,MATCH(BX70,'M1 - LK'!$A$301:$A$369,0),MATCH(BW70,'M1 - LK'!$A$301:$AC$301,0))</f>
        <v>#N/A</v>
      </c>
      <c r="CA70">
        <f t="shared" si="81"/>
        <v>0</v>
      </c>
      <c r="CB70" s="21"/>
      <c r="CK70" t="s">
        <v>665</v>
      </c>
      <c r="CL70">
        <f>SUM(Tootep_kalk!DR36:DR54)</f>
        <v>0</v>
      </c>
      <c r="DP70" s="1" t="s">
        <v>492</v>
      </c>
      <c r="DQ70" s="1" t="s">
        <v>666</v>
      </c>
      <c r="DR70" s="1" t="s">
        <v>667</v>
      </c>
      <c r="DS70" s="1" t="s">
        <v>516</v>
      </c>
      <c r="DT70" s="1" t="s">
        <v>524</v>
      </c>
    </row>
    <row r="71" spans="1:125" ht="15" thickBot="1">
      <c r="B71" s="86" t="s">
        <v>668</v>
      </c>
      <c r="C71" s="87" t="s">
        <v>669</v>
      </c>
      <c r="D71" s="87"/>
      <c r="E71" s="133">
        <f>Taimekasvatus!G30</f>
        <v>0</v>
      </c>
      <c r="F71" s="133">
        <f>Taimekasvatus!H30</f>
        <v>0</v>
      </c>
      <c r="G71" s="133">
        <f>Taimekasvatus!I30</f>
        <v>0</v>
      </c>
      <c r="H71" s="133">
        <f>Taimekasvatus!J30</f>
        <v>0</v>
      </c>
      <c r="I71" s="133">
        <f>Taimekasvatus!K30</f>
        <v>0</v>
      </c>
      <c r="J71" s="133">
        <f>Taimekasvatus!L30</f>
        <v>0</v>
      </c>
      <c r="K71" s="133">
        <f>Taimekasvatus!M30</f>
        <v>0</v>
      </c>
      <c r="L71" s="133">
        <f>Taimekasvatus!N30</f>
        <v>0</v>
      </c>
      <c r="M71" s="133">
        <f>Taimekasvatus!O30</f>
        <v>0</v>
      </c>
      <c r="N71" s="133">
        <f>Taimekasvatus!P30</f>
        <v>0</v>
      </c>
      <c r="O71" s="133">
        <f>Taimekasvatus!Q30</f>
        <v>0</v>
      </c>
      <c r="P71" s="133">
        <f>Taimekasvatus!R30</f>
        <v>0</v>
      </c>
      <c r="Q71" s="133">
        <f>Taimekasvatus!S30</f>
        <v>0</v>
      </c>
      <c r="R71" s="133">
        <f>Taimekasvatus!T30</f>
        <v>0</v>
      </c>
      <c r="S71" s="133">
        <f>Taimekasvatus!U30</f>
        <v>0</v>
      </c>
      <c r="T71" s="133">
        <f>Taimekasvatus!V30</f>
        <v>0</v>
      </c>
      <c r="U71" s="133">
        <f>Taimekasvatus!W30</f>
        <v>0</v>
      </c>
      <c r="V71" s="133">
        <f>Taimekasvatus!X30</f>
        <v>0</v>
      </c>
      <c r="W71" s="133">
        <f>Taimekasvatus!Y30</f>
        <v>0</v>
      </c>
      <c r="X71" s="133">
        <f>Taimekasvatus!Z30</f>
        <v>0</v>
      </c>
      <c r="Y71" s="133">
        <f>Taimekasvatus!AA30</f>
        <v>0</v>
      </c>
      <c r="Z71" s="133">
        <f>Taimekasvatus!AB30</f>
        <v>0</v>
      </c>
      <c r="AA71" s="133">
        <f>Taimekasvatus!AC30</f>
        <v>0</v>
      </c>
      <c r="AB71" s="133">
        <f>Taimekasvatus!AD30</f>
        <v>0</v>
      </c>
      <c r="AC71" s="133">
        <f>Taimekasvatus!AE30</f>
        <v>0</v>
      </c>
      <c r="AD71" s="133">
        <f>Taimekasvatus!AF30</f>
        <v>0</v>
      </c>
      <c r="AE71" s="133">
        <f>Taimekasvatus!AG30</f>
        <v>0</v>
      </c>
      <c r="AF71" s="133">
        <f>Taimekasvatus!AH30</f>
        <v>0</v>
      </c>
      <c r="AG71" s="133">
        <f>Taimekasvatus!AI30</f>
        <v>0</v>
      </c>
      <c r="AH71" s="133">
        <f>Taimekasvatus!AJ30</f>
        <v>0</v>
      </c>
      <c r="AI71" s="133">
        <f>Taimekasvatus!AK30</f>
        <v>0</v>
      </c>
      <c r="AJ71" s="133">
        <f>Taimekasvatus!AL30</f>
        <v>0</v>
      </c>
      <c r="AK71" s="133">
        <f>Taimekasvatus!AM30</f>
        <v>0</v>
      </c>
      <c r="AL71" s="133">
        <f>Taimekasvatus!AN30</f>
        <v>0</v>
      </c>
      <c r="AM71" s="133">
        <f>Taimekasvatus!AO30</f>
        <v>0</v>
      </c>
      <c r="AN71" s="133">
        <f>Taimekasvatus!AP30</f>
        <v>0</v>
      </c>
      <c r="AO71" s="133">
        <f>Taimekasvatus!AQ30</f>
        <v>0</v>
      </c>
      <c r="AP71" s="133">
        <f>Taimekasvatus!AR30</f>
        <v>0</v>
      </c>
      <c r="AQ71" s="133">
        <f>Taimekasvatus!AS30</f>
        <v>0</v>
      </c>
      <c r="AR71" s="133">
        <f>Taimekasvatus!AT30</f>
        <v>0</v>
      </c>
      <c r="AS71" s="42">
        <f t="shared" si="74"/>
        <v>0</v>
      </c>
      <c r="AY71" s="20">
        <f>Taimekasvatus!E107</f>
        <v>0</v>
      </c>
      <c r="AZ71" s="20" t="str">
        <f>Taimekasvatus!F107</f>
        <v>l/kg toodet</v>
      </c>
      <c r="BA71" s="20">
        <f>Taimekasvatus!G107</f>
        <v>0</v>
      </c>
      <c r="BB71" t="str">
        <f>IFERROR(VLOOKUP(AY71,'EFid TK'!$J$192:$L$196,3,FALSE),"0")</f>
        <v>0</v>
      </c>
      <c r="BC71">
        <f t="shared" ref="BC71:BC75" si="85">BA71*BB71</f>
        <v>0</v>
      </c>
      <c r="BD71" s="21"/>
      <c r="BH71" s="15">
        <f>Loomakasvatus!B342</f>
        <v>0</v>
      </c>
      <c r="BI71" s="16" t="str">
        <f>Loomakasvatus!C342</f>
        <v>Isekasvatatud taimne sööt</v>
      </c>
      <c r="BJ71" s="16" t="str">
        <f>Loomakasvatus!D342</f>
        <v>Kogus (kg)</v>
      </c>
      <c r="BK71" s="16"/>
      <c r="BL71" s="16"/>
      <c r="BM71" s="17"/>
      <c r="BP71" s="20">
        <f>Loomakasvatus!B46</f>
        <v>0</v>
      </c>
      <c r="BQ71">
        <f>Loomakasvatus!C46</f>
        <v>0</v>
      </c>
      <c r="BR71">
        <f>Loomakasvatus!D46/1000</f>
        <v>0</v>
      </c>
      <c r="BS71" t="e">
        <f>INDEX('M1 - LK'!$A$301:$AC$369,MATCH(Loomakasvatus!C46,'M1 - LK'!$A$301:$A$369,0),MATCH(Loomakasvatus!B46,'M1 - LK'!$A$301:$AC$301,0))</f>
        <v>#N/A</v>
      </c>
      <c r="BT71">
        <f t="shared" si="84"/>
        <v>0</v>
      </c>
      <c r="BU71" s="21"/>
      <c r="BW71" s="20">
        <f>Loomakasvatus!B512</f>
        <v>0</v>
      </c>
      <c r="BX71">
        <f>Loomakasvatus!C512</f>
        <v>0</v>
      </c>
      <c r="BY71">
        <f>Loomakasvatus!D512/1000</f>
        <v>0</v>
      </c>
      <c r="BZ71" t="e">
        <f>INDEX('M1 - LK'!$A$301:$AC$369,MATCH(BX71,'M1 - LK'!$A$301:$A$369,0),MATCH(BW71,'M1 - LK'!$A$301:$AC$301,0))</f>
        <v>#N/A</v>
      </c>
      <c r="CA71">
        <f t="shared" si="81"/>
        <v>0</v>
      </c>
      <c r="CB71" s="21"/>
      <c r="CK71" t="s">
        <v>670</v>
      </c>
      <c r="CL71">
        <f>SUM(Tootep_kalk!DW36:DW54)</f>
        <v>0</v>
      </c>
      <c r="DP71">
        <f>Tugitegevused!C89</f>
        <v>0</v>
      </c>
      <c r="DQ71">
        <f>Tugitegevused!D89</f>
        <v>0</v>
      </c>
      <c r="DR71">
        <f>Tugitegevused!E89</f>
        <v>0</v>
      </c>
      <c r="DS71" t="str">
        <f>IFERROR(VLOOKUP(DP71,EFid!$A$364:$B$411,2,FALSE),"0")</f>
        <v>0</v>
      </c>
      <c r="DT71">
        <f>DQ71*2*DR71*DS71</f>
        <v>0</v>
      </c>
      <c r="DU71">
        <f>SUM(DT71:DT111)</f>
        <v>0</v>
      </c>
    </row>
    <row r="72" spans="1:125">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42">
        <f t="shared" si="74"/>
        <v>0</v>
      </c>
      <c r="AY72" s="20">
        <f>Taimekasvatus!E108</f>
        <v>0</v>
      </c>
      <c r="AZ72" s="20" t="str">
        <f>Taimekasvatus!F108</f>
        <v>l/kg toodet</v>
      </c>
      <c r="BA72" s="20">
        <f>Taimekasvatus!G108</f>
        <v>0</v>
      </c>
      <c r="BB72" t="str">
        <f>IFERROR(VLOOKUP(AY72,'EFid TK'!$J$192:$L$196,3,FALSE),"0")</f>
        <v>0</v>
      </c>
      <c r="BC72">
        <f t="shared" si="85"/>
        <v>0</v>
      </c>
      <c r="BD72" s="21"/>
      <c r="BH72" s="20">
        <f>Loomakasvatus!C343</f>
        <v>0</v>
      </c>
      <c r="BI72" t="e">
        <f>Loomakasvatus!#REF!</f>
        <v>#REF!</v>
      </c>
      <c r="BJ72">
        <f>Loomakasvatus!D343</f>
        <v>0</v>
      </c>
      <c r="BL72">
        <f t="shared" si="73"/>
        <v>0</v>
      </c>
      <c r="BM72" s="21"/>
      <c r="BP72" s="20">
        <f>Loomakasvatus!B47</f>
        <v>0</v>
      </c>
      <c r="BQ72">
        <f>Loomakasvatus!C47</f>
        <v>0</v>
      </c>
      <c r="BR72">
        <f>Loomakasvatus!D47/1000</f>
        <v>0</v>
      </c>
      <c r="BS72" t="e">
        <f>INDEX('M1 - LK'!$A$301:$AC$369,MATCH(Loomakasvatus!C47,'M1 - LK'!$A$301:$A$369,0),MATCH(Loomakasvatus!B47,'M1 - LK'!$A$301:$AC$301,0))</f>
        <v>#N/A</v>
      </c>
      <c r="BT72">
        <f t="shared" si="84"/>
        <v>0</v>
      </c>
      <c r="BU72" s="21"/>
      <c r="BW72" s="20">
        <f>Loomakasvatus!B513</f>
        <v>0</v>
      </c>
      <c r="BX72">
        <f>Loomakasvatus!C513</f>
        <v>0</v>
      </c>
      <c r="BY72">
        <f>Loomakasvatus!D513/1000</f>
        <v>0</v>
      </c>
      <c r="BZ72" t="e">
        <f>INDEX('M1 - LK'!$A$301:$AC$369,MATCH(BX72,'M1 - LK'!$A$301:$A$369,0),MATCH(BW72,'M1 - LK'!$A$301:$AC$301,0))</f>
        <v>#N/A</v>
      </c>
      <c r="CA72">
        <f t="shared" si="81"/>
        <v>0</v>
      </c>
      <c r="CB72" s="21"/>
      <c r="CK72" t="s">
        <v>671</v>
      </c>
      <c r="CL72">
        <f>SUM(Tootep_kalk!EB36:EB54)</f>
        <v>0</v>
      </c>
      <c r="DJ72" s="1"/>
      <c r="DK72" s="1"/>
      <c r="DL72" s="1"/>
      <c r="DM72" s="1"/>
      <c r="DP72" t="str">
        <f>Tugitegevused!C90</f>
        <v>Vali</v>
      </c>
      <c r="DQ72">
        <f>Tugitegevused!D90</f>
        <v>0</v>
      </c>
      <c r="DR72">
        <f>Tugitegevused!E90</f>
        <v>0</v>
      </c>
      <c r="DS72" t="str">
        <f>IFERROR(VLOOKUP(DP72,EFid!$A$364:$B$411,2,FALSE),"0")</f>
        <v>0</v>
      </c>
      <c r="DT72">
        <f t="shared" ref="DT72:DT110" si="86">DQ72*2*DR72*DS72</f>
        <v>0</v>
      </c>
    </row>
    <row r="73" spans="1:125" ht="15" thickBot="1">
      <c r="B73" s="128" t="s">
        <v>424</v>
      </c>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42">
        <f t="shared" si="74"/>
        <v>0</v>
      </c>
      <c r="AY73" s="20">
        <f>Taimekasvatus!E109</f>
        <v>0</v>
      </c>
      <c r="AZ73" s="20" t="str">
        <f>Taimekasvatus!F109</f>
        <v>l/kg toodet</v>
      </c>
      <c r="BA73" s="20">
        <f>Taimekasvatus!G109</f>
        <v>0</v>
      </c>
      <c r="BB73" t="str">
        <f>IFERROR(VLOOKUP(AY73,'EFid TK'!$J$192:$L$196,3,FALSE),"0")</f>
        <v>0</v>
      </c>
      <c r="BC73">
        <f t="shared" si="85"/>
        <v>0</v>
      </c>
      <c r="BD73" s="21"/>
      <c r="BH73" s="20">
        <f>Loomakasvatus!C344</f>
        <v>0</v>
      </c>
      <c r="BI73" t="e">
        <f>Loomakasvatus!#REF!</f>
        <v>#REF!</v>
      </c>
      <c r="BJ73">
        <f>Loomakasvatus!D344</f>
        <v>0</v>
      </c>
      <c r="BL73">
        <f t="shared" si="73"/>
        <v>0</v>
      </c>
      <c r="BM73" s="21"/>
      <c r="BP73" s="20">
        <f>Loomakasvatus!B48</f>
        <v>0</v>
      </c>
      <c r="BQ73">
        <f>Loomakasvatus!C48</f>
        <v>0</v>
      </c>
      <c r="BR73">
        <f>Loomakasvatus!D48/1000</f>
        <v>0</v>
      </c>
      <c r="BS73" t="e">
        <f>INDEX('M1 - LK'!$A$301:$AC$369,MATCH(Loomakasvatus!C48,'M1 - LK'!$A$301:$A$369,0),MATCH(Loomakasvatus!B48,'M1 - LK'!$A$301:$AC$301,0))</f>
        <v>#N/A</v>
      </c>
      <c r="BT73">
        <f t="shared" si="84"/>
        <v>0</v>
      </c>
      <c r="BU73" s="21"/>
      <c r="BW73" s="20">
        <f>Loomakasvatus!B514</f>
        <v>0</v>
      </c>
      <c r="BX73">
        <f>Loomakasvatus!C514</f>
        <v>0</v>
      </c>
      <c r="BY73">
        <f>Loomakasvatus!D514/1000</f>
        <v>0</v>
      </c>
      <c r="BZ73" t="e">
        <f>INDEX('M1 - LK'!$A$301:$AC$369,MATCH(BX73,'M1 - LK'!$A$301:$A$369,0),MATCH(BW73,'M1 - LK'!$A$301:$AC$301,0))</f>
        <v>#N/A</v>
      </c>
      <c r="CA73">
        <f t="shared" si="81"/>
        <v>0</v>
      </c>
      <c r="CB73" s="21"/>
      <c r="CK73" t="s">
        <v>672</v>
      </c>
      <c r="CL73">
        <f>SUM(Tootep_kalk!EG36:EG54)</f>
        <v>0</v>
      </c>
      <c r="DP73" t="str">
        <f>Tugitegevused!C91</f>
        <v>Vali</v>
      </c>
      <c r="DQ73">
        <f>Tugitegevused!D91</f>
        <v>0</v>
      </c>
      <c r="DR73">
        <f>Tugitegevused!E91</f>
        <v>0</v>
      </c>
      <c r="DS73" t="str">
        <f>IFERROR(VLOOKUP(DP73,EFid!$A$364:$B$411,2,FALSE),"0")</f>
        <v>0</v>
      </c>
      <c r="DT73">
        <f t="shared" si="86"/>
        <v>0</v>
      </c>
    </row>
    <row r="74" spans="1:125">
      <c r="A74" t="s">
        <v>673</v>
      </c>
      <c r="B74" s="55" t="s">
        <v>674</v>
      </c>
      <c r="C74" s="56"/>
      <c r="D74" s="56"/>
      <c r="E74" s="130">
        <f>(E75*'M1 - TK'!$B$31)+(E76*'M1 - TK'!$B$32)</f>
        <v>0</v>
      </c>
      <c r="F74" s="130">
        <f>(F75*'M1 - TK'!$B$31)+(F76*'M1 - TK'!$B$32)</f>
        <v>0</v>
      </c>
      <c r="G74" s="130">
        <f>(G75*'M1 - TK'!$B$31)+(G76*'M1 - TK'!$B$32)</f>
        <v>0</v>
      </c>
      <c r="H74" s="130">
        <f>(H75*'M1 - TK'!$B$31)+(H76*'M1 - TK'!$B$32)</f>
        <v>0</v>
      </c>
      <c r="I74" s="130">
        <f>(I75*'M1 - TK'!$B$31)+(I76*'M1 - TK'!$B$32)</f>
        <v>0</v>
      </c>
      <c r="J74" s="130">
        <f>(J75*'M1 - TK'!$B$31)+(J76*'M1 - TK'!$B$32)</f>
        <v>0</v>
      </c>
      <c r="K74" s="130">
        <f>(K75*'M1 - TK'!$B$31)+(K76*'M1 - TK'!$B$32)</f>
        <v>0</v>
      </c>
      <c r="L74" s="130">
        <f>(L75*'M1 - TK'!$B$31)+(L76*'M1 - TK'!$B$32)</f>
        <v>0</v>
      </c>
      <c r="M74" s="130">
        <f>(M75*'M1 - TK'!$B$31)+(M76*'M1 - TK'!$B$32)</f>
        <v>0</v>
      </c>
      <c r="N74" s="130">
        <f>(N75*'M1 - TK'!$B$31)+(N76*'M1 - TK'!$B$32)</f>
        <v>0</v>
      </c>
      <c r="O74" s="130">
        <f>(O75*'M1 - TK'!$B$31)+(O76*'M1 - TK'!$B$32)</f>
        <v>0</v>
      </c>
      <c r="P74" s="130">
        <f>(P75*'M1 - TK'!$B$31)+(P76*'M1 - TK'!$B$32)</f>
        <v>0</v>
      </c>
      <c r="Q74" s="130">
        <f>(Q75*'M1 - TK'!$B$31)+(Q76*'M1 - TK'!$B$32)</f>
        <v>0</v>
      </c>
      <c r="R74" s="130">
        <f>(R75*'M1 - TK'!$B$31)+(R76*'M1 - TK'!$B$32)</f>
        <v>0</v>
      </c>
      <c r="S74" s="130">
        <f>(S75*'M1 - TK'!$B$31)+(S76*'M1 - TK'!$B$32)</f>
        <v>0</v>
      </c>
      <c r="T74" s="130">
        <f>(T75*'M1 - TK'!$B$31)+(T76*'M1 - TK'!$B$32)</f>
        <v>0</v>
      </c>
      <c r="U74" s="130">
        <f>(U75*'M1 - TK'!$B$31)+(U76*'M1 - TK'!$B$32)</f>
        <v>0</v>
      </c>
      <c r="V74" s="130">
        <f>(V75*'M1 - TK'!$B$31)+(V76*'M1 - TK'!$B$32)</f>
        <v>0</v>
      </c>
      <c r="W74" s="130">
        <f>(W75*'M1 - TK'!$B$31)+(W76*'M1 - TK'!$B$32)</f>
        <v>0</v>
      </c>
      <c r="X74" s="130">
        <f>(X75*'M1 - TK'!$B$31)+(X76*'M1 - TK'!$B$32)</f>
        <v>0</v>
      </c>
      <c r="Y74" s="130">
        <f>(Y75*'M1 - TK'!$B$31)+(Y76*'M1 - TK'!$B$32)</f>
        <v>0</v>
      </c>
      <c r="Z74" s="130">
        <f>(Z75*'M1 - TK'!$B$31)+(Z76*'M1 - TK'!$B$32)</f>
        <v>0</v>
      </c>
      <c r="AA74" s="130">
        <f>(AA75*'M1 - TK'!$B$31)+(AA76*'M1 - TK'!$B$32)</f>
        <v>0</v>
      </c>
      <c r="AB74" s="130">
        <f>(AB75*'M1 - TK'!$B$31)+(AB76*'M1 - TK'!$B$32)</f>
        <v>0</v>
      </c>
      <c r="AC74" s="130">
        <f>(AC75*'M1 - TK'!$B$31)+(AC76*'M1 - TK'!$B$32)</f>
        <v>0</v>
      </c>
      <c r="AD74" s="130">
        <f>(AD75*'M1 - TK'!$B$31)+(AD76*'M1 - TK'!$B$32)</f>
        <v>0</v>
      </c>
      <c r="AE74" s="130">
        <f>(AE75*'M1 - TK'!$B$31)+(AE76*'M1 - TK'!$B$32)</f>
        <v>0</v>
      </c>
      <c r="AF74" s="130">
        <f>(AF75*'M1 - TK'!$B$31)+(AF76*'M1 - TK'!$B$32)</f>
        <v>0</v>
      </c>
      <c r="AG74" s="130">
        <f>(AG75*'M1 - TK'!$B$31)+(AG76*'M1 - TK'!$B$32)</f>
        <v>0</v>
      </c>
      <c r="AH74" s="130">
        <f>(AH75*'M1 - TK'!$B$31)+(AH76*'M1 - TK'!$B$32)</f>
        <v>0</v>
      </c>
      <c r="AI74" s="130">
        <f>(AI75*'M1 - TK'!$B$31)+(AI76*'M1 - TK'!$B$32)</f>
        <v>0</v>
      </c>
      <c r="AJ74" s="130">
        <f>(AJ75*'M1 - TK'!$B$31)+(AJ76*'M1 - TK'!$B$32)</f>
        <v>0</v>
      </c>
      <c r="AK74" s="130">
        <f>(AK75*'M1 - TK'!$B$31)+(AK76*'M1 - TK'!$B$32)</f>
        <v>0</v>
      </c>
      <c r="AL74" s="130">
        <f>(AL75*'M1 - TK'!$B$31)+(AL76*'M1 - TK'!$B$32)</f>
        <v>0</v>
      </c>
      <c r="AM74" s="130">
        <f>(AM75*'M1 - TK'!$B$31)+(AM76*'M1 - TK'!$B$32)</f>
        <v>0</v>
      </c>
      <c r="AN74" s="130">
        <f>(AN75*'M1 - TK'!$B$31)+(AN76*'M1 - TK'!$B$32)</f>
        <v>0</v>
      </c>
      <c r="AO74" s="130">
        <f>(AO75*'M1 - TK'!$B$31)+(AO76*'M1 - TK'!$B$32)</f>
        <v>0</v>
      </c>
      <c r="AP74" s="130">
        <f>(AP75*'M1 - TK'!$B$31)+(AP76*'M1 - TK'!$B$32)</f>
        <v>0</v>
      </c>
      <c r="AQ74" s="130">
        <f>(AQ75*'M1 - TK'!$B$31)+(AQ76*'M1 - TK'!$B$32)</f>
        <v>0</v>
      </c>
      <c r="AR74" s="130">
        <f>(AR75*'M1 - TK'!$B$31)+(AR76*'M1 - TK'!$B$32)</f>
        <v>0</v>
      </c>
      <c r="AS74" s="443">
        <f t="shared" si="74"/>
        <v>0</v>
      </c>
      <c r="AT74" t="s">
        <v>673</v>
      </c>
      <c r="AY74" s="20">
        <f>Taimekasvatus!E110</f>
        <v>0</v>
      </c>
      <c r="AZ74" s="20" t="str">
        <f>Taimekasvatus!F110</f>
        <v>l/kg toodet</v>
      </c>
      <c r="BA74" s="20">
        <f>Taimekasvatus!G110</f>
        <v>0</v>
      </c>
      <c r="BB74" t="str">
        <f>IFERROR(VLOOKUP(AY74,'EFid TK'!$J$192:$L$196,3,FALSE),"0")</f>
        <v>0</v>
      </c>
      <c r="BC74">
        <f t="shared" si="85"/>
        <v>0</v>
      </c>
      <c r="BD74" s="21"/>
      <c r="BH74" s="20">
        <f>Loomakasvatus!C345</f>
        <v>0</v>
      </c>
      <c r="BI74" t="e">
        <f>Loomakasvatus!#REF!</f>
        <v>#REF!</v>
      </c>
      <c r="BJ74">
        <f>Loomakasvatus!D345</f>
        <v>0</v>
      </c>
      <c r="BL74">
        <f t="shared" si="73"/>
        <v>0</v>
      </c>
      <c r="BM74" s="21"/>
      <c r="BP74" s="20">
        <f>Loomakasvatus!B49</f>
        <v>0</v>
      </c>
      <c r="BQ74">
        <f>Loomakasvatus!C49</f>
        <v>0</v>
      </c>
      <c r="BR74">
        <f>Loomakasvatus!D49/1000</f>
        <v>0</v>
      </c>
      <c r="BS74" t="e">
        <f>INDEX('M1 - LK'!$A$301:$AC$369,MATCH(Loomakasvatus!C49,'M1 - LK'!$A$301:$A$369,0),MATCH(Loomakasvatus!B49,'M1 - LK'!$A$301:$AC$301,0))</f>
        <v>#N/A</v>
      </c>
      <c r="BT74">
        <f t="shared" si="84"/>
        <v>0</v>
      </c>
      <c r="BU74" s="21"/>
      <c r="BW74" s="20">
        <f>Loomakasvatus!B515</f>
        <v>0</v>
      </c>
      <c r="BX74">
        <f>Loomakasvatus!C515</f>
        <v>0</v>
      </c>
      <c r="BY74">
        <f>Loomakasvatus!D515/1000</f>
        <v>0</v>
      </c>
      <c r="BZ74" t="e">
        <f>INDEX('M1 - LK'!$A$301:$AC$369,MATCH(BX74,'M1 - LK'!$A$301:$A$369,0),MATCH(BW74,'M1 - LK'!$A$301:$AC$301,0))</f>
        <v>#N/A</v>
      </c>
      <c r="CA74">
        <f t="shared" ref="CA74:CA77" si="87">IFERROR(BZ74*BY74,0)</f>
        <v>0</v>
      </c>
      <c r="CB74" s="21"/>
      <c r="CK74" t="s">
        <v>675</v>
      </c>
      <c r="CL74">
        <f>SUM(Tootep_kalk!EL36:EL54)</f>
        <v>0</v>
      </c>
      <c r="DP74" t="str">
        <f>Tugitegevused!C92</f>
        <v>Vali</v>
      </c>
      <c r="DQ74">
        <f>Tugitegevused!D92</f>
        <v>0</v>
      </c>
      <c r="DR74">
        <f>Tugitegevused!E92</f>
        <v>0</v>
      </c>
      <c r="DS74" t="str">
        <f>IFERROR(VLOOKUP(DP74,EFid!$A$364:$B$411,2,FALSE),"0")</f>
        <v>0</v>
      </c>
      <c r="DT74">
        <f t="shared" si="86"/>
        <v>0</v>
      </c>
    </row>
    <row r="75" spans="1:125">
      <c r="B75" s="32" t="s">
        <v>676</v>
      </c>
      <c r="C75" s="33" t="s">
        <v>677</v>
      </c>
      <c r="E75" s="131">
        <f>Taimekasvatus!G31</f>
        <v>0</v>
      </c>
      <c r="F75" s="131">
        <f>Taimekasvatus!H31</f>
        <v>0</v>
      </c>
      <c r="G75" s="131">
        <f>Taimekasvatus!I31</f>
        <v>0</v>
      </c>
      <c r="H75" s="131">
        <f>Taimekasvatus!J31</f>
        <v>0</v>
      </c>
      <c r="I75" s="131">
        <f>Taimekasvatus!K31</f>
        <v>0</v>
      </c>
      <c r="J75" s="131">
        <f>Taimekasvatus!L31</f>
        <v>0</v>
      </c>
      <c r="K75" s="131">
        <f>Taimekasvatus!M31</f>
        <v>0</v>
      </c>
      <c r="L75" s="131">
        <f>Taimekasvatus!N31</f>
        <v>0</v>
      </c>
      <c r="M75" s="131">
        <f>Taimekasvatus!O31</f>
        <v>0</v>
      </c>
      <c r="N75" s="131">
        <f>Taimekasvatus!P31</f>
        <v>0</v>
      </c>
      <c r="O75" s="131">
        <f>Taimekasvatus!Q31</f>
        <v>0</v>
      </c>
      <c r="P75" s="131">
        <f>Taimekasvatus!R31</f>
        <v>0</v>
      </c>
      <c r="Q75" s="131">
        <f>Taimekasvatus!S31</f>
        <v>0</v>
      </c>
      <c r="R75" s="131">
        <f>Taimekasvatus!T31</f>
        <v>0</v>
      </c>
      <c r="S75" s="131">
        <f>Taimekasvatus!U31</f>
        <v>0</v>
      </c>
      <c r="T75" s="131">
        <f>Taimekasvatus!V31</f>
        <v>0</v>
      </c>
      <c r="U75" s="131">
        <f>Taimekasvatus!W31</f>
        <v>0</v>
      </c>
      <c r="V75" s="131">
        <f>Taimekasvatus!X31</f>
        <v>0</v>
      </c>
      <c r="W75" s="131">
        <f>Taimekasvatus!Y31</f>
        <v>0</v>
      </c>
      <c r="X75" s="131">
        <f>Taimekasvatus!Z31</f>
        <v>0</v>
      </c>
      <c r="Y75" s="131">
        <f>Taimekasvatus!AA31</f>
        <v>0</v>
      </c>
      <c r="Z75" s="131">
        <f>Taimekasvatus!AB31</f>
        <v>0</v>
      </c>
      <c r="AA75" s="131">
        <f>Taimekasvatus!AC31</f>
        <v>0</v>
      </c>
      <c r="AB75" s="131">
        <f>Taimekasvatus!AD31</f>
        <v>0</v>
      </c>
      <c r="AC75" s="131">
        <f>Taimekasvatus!AE31</f>
        <v>0</v>
      </c>
      <c r="AD75" s="131">
        <f>Taimekasvatus!AF31</f>
        <v>0</v>
      </c>
      <c r="AE75" s="131">
        <f>Taimekasvatus!AG31</f>
        <v>0</v>
      </c>
      <c r="AF75" s="131">
        <f>Taimekasvatus!AH31</f>
        <v>0</v>
      </c>
      <c r="AG75" s="131">
        <f>Taimekasvatus!AI31</f>
        <v>0</v>
      </c>
      <c r="AH75" s="131">
        <f>Taimekasvatus!AJ31</f>
        <v>0</v>
      </c>
      <c r="AI75" s="131">
        <f>Taimekasvatus!AK31</f>
        <v>0</v>
      </c>
      <c r="AJ75" s="131">
        <f>Taimekasvatus!AL31</f>
        <v>0</v>
      </c>
      <c r="AK75" s="131">
        <f>Taimekasvatus!AM31</f>
        <v>0</v>
      </c>
      <c r="AL75" s="131">
        <f>Taimekasvatus!AN31</f>
        <v>0</v>
      </c>
      <c r="AM75" s="131">
        <f>Taimekasvatus!AO31</f>
        <v>0</v>
      </c>
      <c r="AN75" s="131">
        <f>Taimekasvatus!AP31</f>
        <v>0</v>
      </c>
      <c r="AO75" s="131">
        <f>Taimekasvatus!AQ31</f>
        <v>0</v>
      </c>
      <c r="AP75" s="131">
        <f>Taimekasvatus!AR31</f>
        <v>0</v>
      </c>
      <c r="AQ75" s="131">
        <f>Taimekasvatus!AS31</f>
        <v>0</v>
      </c>
      <c r="AR75" s="131">
        <f>Taimekasvatus!AT31</f>
        <v>0</v>
      </c>
      <c r="AS75" s="42">
        <f t="shared" si="74"/>
        <v>0</v>
      </c>
      <c r="AY75" s="20">
        <f>Taimekasvatus!E111</f>
        <v>0</v>
      </c>
      <c r="AZ75" s="20" t="str">
        <f>Taimekasvatus!F111</f>
        <v>l/kg toodet</v>
      </c>
      <c r="BA75" s="20">
        <f>Taimekasvatus!G111</f>
        <v>0</v>
      </c>
      <c r="BB75" t="str">
        <f>IFERROR(VLOOKUP(AY75,'EFid TK'!$J$192:$L$196,3,FALSE),"0")</f>
        <v>0</v>
      </c>
      <c r="BC75">
        <f t="shared" si="85"/>
        <v>0</v>
      </c>
      <c r="BD75" s="21"/>
      <c r="BH75" s="20">
        <f>Loomakasvatus!C346</f>
        <v>0</v>
      </c>
      <c r="BI75" t="e">
        <f>Loomakasvatus!#REF!</f>
        <v>#REF!</v>
      </c>
      <c r="BJ75">
        <f>Loomakasvatus!D346</f>
        <v>0</v>
      </c>
      <c r="BL75">
        <f t="shared" si="73"/>
        <v>0</v>
      </c>
      <c r="BM75" s="21"/>
      <c r="BP75" s="20">
        <f>Loomakasvatus!B50</f>
        <v>0</v>
      </c>
      <c r="BQ75">
        <f>Loomakasvatus!C50</f>
        <v>0</v>
      </c>
      <c r="BR75">
        <f>Loomakasvatus!D50/1000</f>
        <v>0</v>
      </c>
      <c r="BS75" t="e">
        <f>INDEX('M1 - LK'!$A$301:$AC$369,MATCH(Loomakasvatus!C50,'M1 - LK'!$A$301:$A$369,0),MATCH(Loomakasvatus!B50,'M1 - LK'!$A$301:$AC$301,0))</f>
        <v>#N/A</v>
      </c>
      <c r="BT75">
        <f t="shared" si="84"/>
        <v>0</v>
      </c>
      <c r="BU75" s="21"/>
      <c r="BW75" s="20">
        <f>Loomakasvatus!B516</f>
        <v>0</v>
      </c>
      <c r="BX75">
        <f>Loomakasvatus!C516</f>
        <v>0</v>
      </c>
      <c r="BY75">
        <f>Loomakasvatus!D516/1000</f>
        <v>0</v>
      </c>
      <c r="BZ75" t="e">
        <f>INDEX('M1 - LK'!$A$301:$AC$369,MATCH(BX75,'M1 - LK'!$A$301:$A$369,0),MATCH(BW75,'M1 - LK'!$A$301:$AC$301,0))</f>
        <v>#N/A</v>
      </c>
      <c r="CA75">
        <f t="shared" si="87"/>
        <v>0</v>
      </c>
      <c r="CB75" s="21"/>
      <c r="CK75" t="s">
        <v>678</v>
      </c>
      <c r="CL75">
        <f>SUM(Tootep_kalk!EQ36:EQ54)</f>
        <v>0</v>
      </c>
      <c r="DP75" t="str">
        <f>Tugitegevused!C93</f>
        <v>Vali</v>
      </c>
      <c r="DQ75">
        <f>Tugitegevused!D93</f>
        <v>0</v>
      </c>
      <c r="DR75">
        <f>Tugitegevused!E93</f>
        <v>0</v>
      </c>
      <c r="DS75" t="str">
        <f>IFERROR(VLOOKUP(DP75,EFid!$A$364:$B$411,2,FALSE),"0")</f>
        <v>0</v>
      </c>
      <c r="DT75">
        <f t="shared" si="86"/>
        <v>0</v>
      </c>
    </row>
    <row r="76" spans="1:125" ht="15" thickBot="1">
      <c r="B76" s="86" t="s">
        <v>679</v>
      </c>
      <c r="C76" s="87" t="s">
        <v>680</v>
      </c>
      <c r="D76" s="36"/>
      <c r="E76" s="133">
        <f>Taimekasvatus!G32</f>
        <v>0</v>
      </c>
      <c r="F76" s="133">
        <f>Taimekasvatus!H32</f>
        <v>0</v>
      </c>
      <c r="G76" s="133">
        <f>Taimekasvatus!I32</f>
        <v>0</v>
      </c>
      <c r="H76" s="133">
        <f>Taimekasvatus!J32</f>
        <v>0</v>
      </c>
      <c r="I76" s="133">
        <f>Taimekasvatus!K32</f>
        <v>0</v>
      </c>
      <c r="J76" s="133">
        <f>Taimekasvatus!L32</f>
        <v>0</v>
      </c>
      <c r="K76" s="133">
        <f>Taimekasvatus!M32</f>
        <v>0</v>
      </c>
      <c r="L76" s="133">
        <f>Taimekasvatus!N32</f>
        <v>0</v>
      </c>
      <c r="M76" s="133">
        <f>Taimekasvatus!O32</f>
        <v>0</v>
      </c>
      <c r="N76" s="133">
        <f>Taimekasvatus!P32</f>
        <v>0</v>
      </c>
      <c r="O76" s="133">
        <f>Taimekasvatus!Q32</f>
        <v>0</v>
      </c>
      <c r="P76" s="133">
        <f>Taimekasvatus!R32</f>
        <v>0</v>
      </c>
      <c r="Q76" s="133">
        <f>Taimekasvatus!S32</f>
        <v>0</v>
      </c>
      <c r="R76" s="133">
        <f>Taimekasvatus!T32</f>
        <v>0</v>
      </c>
      <c r="S76" s="133">
        <f>Taimekasvatus!U32</f>
        <v>0</v>
      </c>
      <c r="T76" s="133">
        <f>Taimekasvatus!V32</f>
        <v>0</v>
      </c>
      <c r="U76" s="133">
        <f>Taimekasvatus!W32</f>
        <v>0</v>
      </c>
      <c r="V76" s="133">
        <f>Taimekasvatus!X32</f>
        <v>0</v>
      </c>
      <c r="W76" s="133">
        <f>Taimekasvatus!Y32</f>
        <v>0</v>
      </c>
      <c r="X76" s="133">
        <f>Taimekasvatus!Z32</f>
        <v>0</v>
      </c>
      <c r="Y76" s="133">
        <f>Taimekasvatus!AA32</f>
        <v>0</v>
      </c>
      <c r="Z76" s="133">
        <f>Taimekasvatus!AB32</f>
        <v>0</v>
      </c>
      <c r="AA76" s="133">
        <f>Taimekasvatus!AC32</f>
        <v>0</v>
      </c>
      <c r="AB76" s="133">
        <f>Taimekasvatus!AD32</f>
        <v>0</v>
      </c>
      <c r="AC76" s="133">
        <f>Taimekasvatus!AE32</f>
        <v>0</v>
      </c>
      <c r="AD76" s="133">
        <f>Taimekasvatus!AF32</f>
        <v>0</v>
      </c>
      <c r="AE76" s="133">
        <f>Taimekasvatus!AG32</f>
        <v>0</v>
      </c>
      <c r="AF76" s="133">
        <f>Taimekasvatus!AH32</f>
        <v>0</v>
      </c>
      <c r="AG76" s="133">
        <f>Taimekasvatus!AI32</f>
        <v>0</v>
      </c>
      <c r="AH76" s="133">
        <f>Taimekasvatus!AJ32</f>
        <v>0</v>
      </c>
      <c r="AI76" s="133">
        <f>Taimekasvatus!AK32</f>
        <v>0</v>
      </c>
      <c r="AJ76" s="133">
        <f>Taimekasvatus!AL32</f>
        <v>0</v>
      </c>
      <c r="AK76" s="133">
        <f>Taimekasvatus!AM32</f>
        <v>0</v>
      </c>
      <c r="AL76" s="133">
        <f>Taimekasvatus!AN32</f>
        <v>0</v>
      </c>
      <c r="AM76" s="133">
        <f>Taimekasvatus!AO32</f>
        <v>0</v>
      </c>
      <c r="AN76" s="133">
        <f>Taimekasvatus!AP32</f>
        <v>0</v>
      </c>
      <c r="AO76" s="133">
        <f>Taimekasvatus!AQ32</f>
        <v>0</v>
      </c>
      <c r="AP76" s="133">
        <f>Taimekasvatus!AR32</f>
        <v>0</v>
      </c>
      <c r="AQ76" s="133">
        <f>Taimekasvatus!AS32</f>
        <v>0</v>
      </c>
      <c r="AR76" s="133">
        <f>Taimekasvatus!AT32</f>
        <v>0</v>
      </c>
      <c r="AS76" s="42">
        <f t="shared" si="74"/>
        <v>0</v>
      </c>
      <c r="AY76" s="20" t="str">
        <f>Taimekasvatus!E112</f>
        <v>Toode</v>
      </c>
      <c r="AZ76" s="20" t="str">
        <f>Taimekasvatus!F112</f>
        <v>Kogus</v>
      </c>
      <c r="BA76" s="20" t="str">
        <f>Taimekasvatus!G112</f>
        <v>Heitetegur (kg CO2-ekv/kg)</v>
      </c>
      <c r="BD76" s="88"/>
      <c r="BH76" s="20">
        <f>Loomakasvatus!C347</f>
        <v>0</v>
      </c>
      <c r="BI76" t="e">
        <f>Loomakasvatus!#REF!</f>
        <v>#REF!</v>
      </c>
      <c r="BJ76">
        <f>Loomakasvatus!D347</f>
        <v>0</v>
      </c>
      <c r="BL76">
        <f t="shared" si="73"/>
        <v>0</v>
      </c>
      <c r="BM76" s="21"/>
      <c r="BP76" s="20">
        <f>Loomakasvatus!B51</f>
        <v>0</v>
      </c>
      <c r="BQ76">
        <f>Loomakasvatus!C51</f>
        <v>0</v>
      </c>
      <c r="BR76">
        <f>Loomakasvatus!D51/1000</f>
        <v>0</v>
      </c>
      <c r="BS76" t="e">
        <f>INDEX('M1 - LK'!$A$301:$AC$369,MATCH(Loomakasvatus!C51,'M1 - LK'!$A$301:$A$369,0),MATCH(Loomakasvatus!B51,'M1 - LK'!$A$301:$AC$301,0))</f>
        <v>#N/A</v>
      </c>
      <c r="BT76">
        <f t="shared" ref="BT76:BT80" si="88">IFERROR(BS76*BR76,0)</f>
        <v>0</v>
      </c>
      <c r="BU76" s="21"/>
      <c r="BW76" s="20">
        <f>Loomakasvatus!B517</f>
        <v>0</v>
      </c>
      <c r="BX76">
        <f>Loomakasvatus!C517</f>
        <v>0</v>
      </c>
      <c r="BY76">
        <f>Loomakasvatus!D517/1000</f>
        <v>0</v>
      </c>
      <c r="BZ76" t="e">
        <f>INDEX('M1 - LK'!$A$301:$AC$369,MATCH(BX76,'M1 - LK'!$A$301:$A$369,0),MATCH(BW76,'M1 - LK'!$A$301:$AC$301,0))</f>
        <v>#N/A</v>
      </c>
      <c r="CA76">
        <f t="shared" si="87"/>
        <v>0</v>
      </c>
      <c r="CB76" s="21"/>
      <c r="CK76" t="s">
        <v>282</v>
      </c>
      <c r="CL76">
        <f>SUM(Tootep_kalk!EV36:EV54)</f>
        <v>0</v>
      </c>
      <c r="DP76" t="str">
        <f>Tugitegevused!C94</f>
        <v>Vali</v>
      </c>
      <c r="DQ76">
        <f>Tugitegevused!D94</f>
        <v>0</v>
      </c>
      <c r="DR76">
        <f>Tugitegevused!E94</f>
        <v>0</v>
      </c>
      <c r="DS76" t="str">
        <f>IFERROR(VLOOKUP(DP76,EFid!$A$364:$B$411,2,FALSE),"0")</f>
        <v>0</v>
      </c>
      <c r="DT76">
        <f t="shared" si="86"/>
        <v>0</v>
      </c>
    </row>
    <row r="77" spans="1:125" ht="15" thickBot="1">
      <c r="AS77" s="42">
        <f t="shared" si="74"/>
        <v>0</v>
      </c>
      <c r="AY77" s="20">
        <f>Taimekasvatus!E113</f>
        <v>0</v>
      </c>
      <c r="AZ77" s="20">
        <f>Taimekasvatus!F113</f>
        <v>0</v>
      </c>
      <c r="BA77" s="20">
        <f>Taimekasvatus!G113</f>
        <v>0</v>
      </c>
      <c r="BC77">
        <f>AZ77*BA77</f>
        <v>0</v>
      </c>
      <c r="BD77" s="21"/>
      <c r="BH77" s="20">
        <f>Loomakasvatus!C348</f>
        <v>0</v>
      </c>
      <c r="BI77" t="e">
        <f>Loomakasvatus!#REF!</f>
        <v>#REF!</v>
      </c>
      <c r="BJ77">
        <f>Loomakasvatus!D348</f>
        <v>0</v>
      </c>
      <c r="BL77">
        <f t="shared" si="73"/>
        <v>0</v>
      </c>
      <c r="BM77" s="21"/>
      <c r="BP77" s="20">
        <f>Loomakasvatus!B52</f>
        <v>0</v>
      </c>
      <c r="BQ77">
        <f>Loomakasvatus!C52</f>
        <v>0</v>
      </c>
      <c r="BR77">
        <f>Loomakasvatus!D52/1000</f>
        <v>0</v>
      </c>
      <c r="BS77" t="e">
        <f>INDEX('M1 - LK'!$A$301:$AC$369,MATCH(Loomakasvatus!C52,'M1 - LK'!$A$301:$A$369,0),MATCH(Loomakasvatus!B52,'M1 - LK'!$A$301:$AC$301,0))</f>
        <v>#N/A</v>
      </c>
      <c r="BT77">
        <f t="shared" si="88"/>
        <v>0</v>
      </c>
      <c r="BU77" s="21"/>
      <c r="BW77" s="20">
        <f>Loomakasvatus!B518</f>
        <v>0</v>
      </c>
      <c r="BX77">
        <f>Loomakasvatus!C518</f>
        <v>0</v>
      </c>
      <c r="BY77">
        <f>Loomakasvatus!D518/1000</f>
        <v>0</v>
      </c>
      <c r="BZ77" t="e">
        <f>INDEX('M1 - LK'!$A$301:$AC$369,MATCH(BX77,'M1 - LK'!$A$301:$A$369,0),MATCH(BW77,'M1 - LK'!$A$301:$AC$301,0))</f>
        <v>#N/A</v>
      </c>
      <c r="CA77">
        <f t="shared" si="87"/>
        <v>0</v>
      </c>
      <c r="CB77" s="21"/>
      <c r="CK77" t="s">
        <v>681</v>
      </c>
      <c r="CL77">
        <f>SUM(Tootep_kalk!FA36:FA54)</f>
        <v>0</v>
      </c>
      <c r="DP77" t="str">
        <f>Tugitegevused!C95</f>
        <v>Vali</v>
      </c>
      <c r="DQ77">
        <f>Tugitegevused!D95</f>
        <v>0</v>
      </c>
      <c r="DR77">
        <f>Tugitegevused!E95</f>
        <v>0</v>
      </c>
      <c r="DS77" t="str">
        <f>IFERROR(VLOOKUP(DP77,EFid!$A$364:$B$411,2,FALSE),"0")</f>
        <v>0</v>
      </c>
      <c r="DT77">
        <f t="shared" si="86"/>
        <v>0</v>
      </c>
    </row>
    <row r="78" spans="1:125">
      <c r="AS78" s="42">
        <f t="shared" si="74"/>
        <v>0</v>
      </c>
      <c r="AY78" s="20">
        <f>Taimekasvatus!E114</f>
        <v>0</v>
      </c>
      <c r="AZ78" s="20">
        <f>Taimekasvatus!F114</f>
        <v>0</v>
      </c>
      <c r="BA78" s="20">
        <f>Taimekasvatus!G114</f>
        <v>0</v>
      </c>
      <c r="BC78">
        <f t="shared" ref="BC78:BC79" si="89">AZ78*BA78</f>
        <v>0</v>
      </c>
      <c r="BD78" s="21"/>
      <c r="BH78" s="20">
        <f>Loomakasvatus!C349</f>
        <v>0</v>
      </c>
      <c r="BI78" t="e">
        <f>Loomakasvatus!#REF!</f>
        <v>#REF!</v>
      </c>
      <c r="BJ78">
        <f>Loomakasvatus!D349</f>
        <v>0</v>
      </c>
      <c r="BL78">
        <f t="shared" si="73"/>
        <v>0</v>
      </c>
      <c r="BM78" s="21"/>
      <c r="BP78" s="20">
        <f>Loomakasvatus!B53</f>
        <v>0</v>
      </c>
      <c r="BQ78">
        <f>Loomakasvatus!C53</f>
        <v>0</v>
      </c>
      <c r="BR78">
        <f>Loomakasvatus!D53/1000</f>
        <v>0</v>
      </c>
      <c r="BS78" t="e">
        <f>INDEX('M1 - LK'!$A$301:$AC$369,MATCH(Loomakasvatus!C53,'M1 - LK'!$A$301:$A$369,0),MATCH(Loomakasvatus!B53,'M1 - LK'!$A$301:$AC$301,0))</f>
        <v>#N/A</v>
      </c>
      <c r="BT78">
        <f t="shared" si="88"/>
        <v>0</v>
      </c>
      <c r="BU78" s="21"/>
      <c r="BW78" s="15">
        <f>Loomakasvatus!B519</f>
        <v>0</v>
      </c>
      <c r="BX78" s="16" t="str">
        <f>Loomakasvatus!C519</f>
        <v>Isekasvatatud taimne sööt</v>
      </c>
      <c r="BY78" s="16" t="str">
        <f>Loomakasvatus!D519</f>
        <v>Kogus (kg)</v>
      </c>
      <c r="BZ78" s="16"/>
      <c r="CA78" s="16"/>
      <c r="CB78" s="17"/>
      <c r="CK78" t="s">
        <v>682</v>
      </c>
      <c r="CL78">
        <f>SUM(Tootep_kalk!FF36:FF54)</f>
        <v>0</v>
      </c>
      <c r="DP78" t="str">
        <f>Tugitegevused!C96</f>
        <v>Vali</v>
      </c>
      <c r="DQ78">
        <f>Tugitegevused!D96</f>
        <v>0</v>
      </c>
      <c r="DR78">
        <f>Tugitegevused!E96</f>
        <v>0</v>
      </c>
      <c r="DS78" t="str">
        <f>IFERROR(VLOOKUP(DP78,EFid!$A$364:$B$411,2,FALSE),"0")</f>
        <v>0</v>
      </c>
      <c r="DT78">
        <f t="shared" si="86"/>
        <v>0</v>
      </c>
    </row>
    <row r="79" spans="1:125" ht="15" thickBot="1">
      <c r="A79" t="s">
        <v>683</v>
      </c>
      <c r="B79" s="38" t="s">
        <v>684</v>
      </c>
      <c r="C79" s="39"/>
      <c r="D79" s="3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42">
        <f t="shared" si="74"/>
        <v>0</v>
      </c>
      <c r="AY79" s="20">
        <f>Taimekasvatus!E115</f>
        <v>0</v>
      </c>
      <c r="AZ79" s="20">
        <f>Taimekasvatus!F115</f>
        <v>0</v>
      </c>
      <c r="BA79" s="20">
        <f>Taimekasvatus!G115</f>
        <v>0</v>
      </c>
      <c r="BC79">
        <f t="shared" si="89"/>
        <v>0</v>
      </c>
      <c r="BD79" s="21"/>
      <c r="BH79" s="20">
        <f>Loomakasvatus!C350</f>
        <v>0</v>
      </c>
      <c r="BI79" t="e">
        <f>Loomakasvatus!#REF!</f>
        <v>#REF!</v>
      </c>
      <c r="BJ79">
        <f>Loomakasvatus!D350</f>
        <v>0</v>
      </c>
      <c r="BL79">
        <f t="shared" si="73"/>
        <v>0</v>
      </c>
      <c r="BM79" s="21"/>
      <c r="BP79" s="20">
        <f>Loomakasvatus!B54</f>
        <v>0</v>
      </c>
      <c r="BQ79">
        <f>Loomakasvatus!C54</f>
        <v>0</v>
      </c>
      <c r="BR79">
        <f>Loomakasvatus!D54/1000</f>
        <v>0</v>
      </c>
      <c r="BS79" t="e">
        <f>INDEX('M1 - LK'!$A$301:$AC$369,MATCH(Loomakasvatus!C54,'M1 - LK'!$A$301:$A$369,0),MATCH(Loomakasvatus!B54,'M1 - LK'!$A$301:$AC$301,0))</f>
        <v>#N/A</v>
      </c>
      <c r="BT79">
        <f t="shared" si="88"/>
        <v>0</v>
      </c>
      <c r="BU79" s="21"/>
      <c r="BW79" s="20">
        <f>Loomakasvatus!C520</f>
        <v>0</v>
      </c>
      <c r="BX79" t="e">
        <f>Loomakasvatus!#REF!</f>
        <v>#REF!</v>
      </c>
      <c r="BY79">
        <f>Loomakasvatus!D520</f>
        <v>0</v>
      </c>
      <c r="CA79">
        <f t="shared" si="79"/>
        <v>0</v>
      </c>
      <c r="CB79" s="21"/>
      <c r="CK79" t="s">
        <v>685</v>
      </c>
      <c r="CL79">
        <f>SUM(Tootep_kalk!FK36:FK54)</f>
        <v>0</v>
      </c>
      <c r="DP79" t="str">
        <f>Tugitegevused!C97</f>
        <v>Vali</v>
      </c>
      <c r="DQ79">
        <f>Tugitegevused!D97</f>
        <v>0</v>
      </c>
      <c r="DR79">
        <f>Tugitegevused!E97</f>
        <v>0</v>
      </c>
      <c r="DS79" t="str">
        <f>IFERROR(VLOOKUP(DP79,EFid!$A$364:$B$411,2,FALSE),"0")</f>
        <v>0</v>
      </c>
      <c r="DT79">
        <f t="shared" si="86"/>
        <v>0</v>
      </c>
    </row>
    <row r="80" spans="1:125">
      <c r="B80" s="6" t="s">
        <v>686</v>
      </c>
      <c r="C80" t="s">
        <v>687</v>
      </c>
      <c r="E80" s="161">
        <f>((E81*E82)+(E83+E84))*E85*E86</f>
        <v>0</v>
      </c>
      <c r="F80" s="161">
        <f t="shared" ref="F80:AR80" si="90">((F81*F82)+(F83+F84))*F85*F86</f>
        <v>0</v>
      </c>
      <c r="G80" s="161">
        <f t="shared" si="90"/>
        <v>0</v>
      </c>
      <c r="H80" s="161">
        <f t="shared" si="90"/>
        <v>0</v>
      </c>
      <c r="I80" s="161">
        <f t="shared" si="90"/>
        <v>0</v>
      </c>
      <c r="J80" s="161">
        <f t="shared" si="90"/>
        <v>0</v>
      </c>
      <c r="K80" s="161">
        <f t="shared" si="90"/>
        <v>0</v>
      </c>
      <c r="L80" s="161">
        <f t="shared" si="90"/>
        <v>0</v>
      </c>
      <c r="M80" s="161">
        <f t="shared" si="90"/>
        <v>0</v>
      </c>
      <c r="N80" s="161">
        <f t="shared" si="90"/>
        <v>0</v>
      </c>
      <c r="O80" s="161">
        <f t="shared" si="90"/>
        <v>0</v>
      </c>
      <c r="P80" s="161">
        <f t="shared" si="90"/>
        <v>0</v>
      </c>
      <c r="Q80" s="161">
        <f t="shared" si="90"/>
        <v>0</v>
      </c>
      <c r="R80" s="161">
        <f t="shared" si="90"/>
        <v>0</v>
      </c>
      <c r="S80" s="161">
        <f t="shared" si="90"/>
        <v>0</v>
      </c>
      <c r="T80" s="161">
        <f t="shared" si="90"/>
        <v>0</v>
      </c>
      <c r="U80" s="161">
        <f t="shared" si="90"/>
        <v>0</v>
      </c>
      <c r="V80" s="161">
        <f t="shared" si="90"/>
        <v>0</v>
      </c>
      <c r="W80" s="161">
        <f t="shared" si="90"/>
        <v>0</v>
      </c>
      <c r="X80" s="161">
        <f t="shared" si="90"/>
        <v>0</v>
      </c>
      <c r="Y80" s="161">
        <f t="shared" si="90"/>
        <v>0</v>
      </c>
      <c r="Z80" s="161">
        <f t="shared" si="90"/>
        <v>0</v>
      </c>
      <c r="AA80" s="161">
        <f t="shared" si="90"/>
        <v>0</v>
      </c>
      <c r="AB80" s="161">
        <f t="shared" si="90"/>
        <v>0</v>
      </c>
      <c r="AC80" s="161">
        <f t="shared" si="90"/>
        <v>0</v>
      </c>
      <c r="AD80" s="161">
        <f t="shared" si="90"/>
        <v>0</v>
      </c>
      <c r="AE80" s="161">
        <f t="shared" si="90"/>
        <v>0</v>
      </c>
      <c r="AF80" s="161">
        <f t="shared" si="90"/>
        <v>0</v>
      </c>
      <c r="AG80" s="161">
        <f t="shared" si="90"/>
        <v>0</v>
      </c>
      <c r="AH80" s="161">
        <f t="shared" si="90"/>
        <v>0</v>
      </c>
      <c r="AI80" s="161">
        <f t="shared" si="90"/>
        <v>0</v>
      </c>
      <c r="AJ80" s="161">
        <f t="shared" si="90"/>
        <v>0</v>
      </c>
      <c r="AK80" s="161">
        <f t="shared" si="90"/>
        <v>0</v>
      </c>
      <c r="AL80" s="161">
        <f t="shared" si="90"/>
        <v>0</v>
      </c>
      <c r="AM80" s="161">
        <f t="shared" si="90"/>
        <v>0</v>
      </c>
      <c r="AN80" s="161">
        <f t="shared" si="90"/>
        <v>0</v>
      </c>
      <c r="AO80" s="161">
        <f t="shared" si="90"/>
        <v>0</v>
      </c>
      <c r="AP80" s="161">
        <f t="shared" si="90"/>
        <v>0</v>
      </c>
      <c r="AQ80" s="161">
        <f t="shared" si="90"/>
        <v>0</v>
      </c>
      <c r="AR80" s="161">
        <f t="shared" si="90"/>
        <v>0</v>
      </c>
      <c r="AS80" s="443">
        <f t="shared" si="74"/>
        <v>0</v>
      </c>
      <c r="AT80" s="444" t="s">
        <v>683</v>
      </c>
      <c r="AU80" t="s">
        <v>609</v>
      </c>
      <c r="AY80" s="20" t="str">
        <f>Taimekasvatus!D116</f>
        <v>Soetatud fungitsiidid</v>
      </c>
      <c r="AZ80" s="20" t="str">
        <f>Taimekasvatus!F116</f>
        <v>Ühik</v>
      </c>
      <c r="BA80" s="20" t="str">
        <f>Taimekasvatus!G116</f>
        <v>Kogus</v>
      </c>
      <c r="BB80" t="str">
        <f>IFERROR(VLOOKUP(AY80,'EFid TK'!A69:B125,2,FALSE),"")</f>
        <v/>
      </c>
      <c r="BD80" s="21" t="s">
        <v>688</v>
      </c>
      <c r="BH80" s="20">
        <f>Loomakasvatus!C351</f>
        <v>0</v>
      </c>
      <c r="BI80" t="e">
        <f>Loomakasvatus!#REF!</f>
        <v>#REF!</v>
      </c>
      <c r="BJ80">
        <f>Loomakasvatus!D351</f>
        <v>0</v>
      </c>
      <c r="BL80">
        <f t="shared" si="73"/>
        <v>0</v>
      </c>
      <c r="BM80" s="21"/>
      <c r="BP80" s="15">
        <f>Loomakasvatus!B55</f>
        <v>0</v>
      </c>
      <c r="BQ80" s="16" t="str">
        <f>Loomakasvatus!C55</f>
        <v>Isekasvatatud taimne sööt</v>
      </c>
      <c r="BR80" s="16" t="str">
        <f>Loomakasvatus!D55</f>
        <v>Kogus (kg)</v>
      </c>
      <c r="BS80" s="16" t="e">
        <f>INDEX('M1 - LK'!$A$301:$Y$369,MATCH(Loomakasvatus!C55,'M1 - LK'!$A$301:$A$369,0),MATCH(Loomakasvatus!B55,'M1 - LK'!$A$301:$Y$301,0))</f>
        <v>#N/A</v>
      </c>
      <c r="BT80" s="16">
        <f t="shared" si="88"/>
        <v>0</v>
      </c>
      <c r="BU80" s="17"/>
      <c r="BW80" s="20">
        <f>Loomakasvatus!C521</f>
        <v>0</v>
      </c>
      <c r="BX80" t="e">
        <f>Loomakasvatus!#REF!</f>
        <v>#REF!</v>
      </c>
      <c r="BY80">
        <f>Loomakasvatus!D521</f>
        <v>0</v>
      </c>
      <c r="CA80">
        <f t="shared" si="79"/>
        <v>0</v>
      </c>
      <c r="CB80" s="21"/>
      <c r="CK80" t="s">
        <v>689</v>
      </c>
      <c r="CL80">
        <f>SUM(Tootep_kalk!FP36:FP54)</f>
        <v>0</v>
      </c>
      <c r="DP80" t="str">
        <f>Tugitegevused!C98</f>
        <v>Vali</v>
      </c>
      <c r="DQ80">
        <f>Tugitegevused!D98</f>
        <v>0</v>
      </c>
      <c r="DR80">
        <f>Tugitegevused!E98</f>
        <v>0</v>
      </c>
      <c r="DS80" t="str">
        <f>IFERROR(VLOOKUP(DP80,EFid!$A$364:$B$411,2,FALSE),"0")</f>
        <v>0</v>
      </c>
      <c r="DT80">
        <f t="shared" si="86"/>
        <v>0</v>
      </c>
    </row>
    <row r="81" spans="1:124">
      <c r="B81" s="47" t="s">
        <v>690</v>
      </c>
      <c r="C81" s="33" t="s">
        <v>691</v>
      </c>
      <c r="D81" s="33"/>
      <c r="E81" s="157">
        <f>Taimekasvatus!G49</f>
        <v>0</v>
      </c>
      <c r="F81" s="157">
        <f>Taimekasvatus!H49</f>
        <v>0</v>
      </c>
      <c r="G81" s="157">
        <f>Taimekasvatus!I49</f>
        <v>0</v>
      </c>
      <c r="H81" s="157">
        <f>Taimekasvatus!J49</f>
        <v>0</v>
      </c>
      <c r="I81" s="157">
        <f>Taimekasvatus!K49</f>
        <v>0</v>
      </c>
      <c r="J81" s="157">
        <f>Taimekasvatus!L49</f>
        <v>0</v>
      </c>
      <c r="K81" s="157">
        <f>Taimekasvatus!M49</f>
        <v>0</v>
      </c>
      <c r="L81" s="157">
        <f>Taimekasvatus!N49</f>
        <v>0</v>
      </c>
      <c r="M81" s="157">
        <f>Taimekasvatus!O49</f>
        <v>0</v>
      </c>
      <c r="N81" s="157">
        <f>Taimekasvatus!P49</f>
        <v>0</v>
      </c>
      <c r="O81" s="157">
        <f>Taimekasvatus!Q49</f>
        <v>0</v>
      </c>
      <c r="P81" s="157">
        <f>Taimekasvatus!R49</f>
        <v>0</v>
      </c>
      <c r="Q81" s="157">
        <f>Taimekasvatus!S49</f>
        <v>0</v>
      </c>
      <c r="R81" s="157">
        <f>Taimekasvatus!T49</f>
        <v>0</v>
      </c>
      <c r="S81" s="157">
        <f>Taimekasvatus!U49</f>
        <v>0</v>
      </c>
      <c r="T81" s="157">
        <f>Taimekasvatus!V49</f>
        <v>0</v>
      </c>
      <c r="U81" s="157">
        <f>Taimekasvatus!W49</f>
        <v>0</v>
      </c>
      <c r="V81" s="157">
        <f>Taimekasvatus!X49</f>
        <v>0</v>
      </c>
      <c r="W81" s="157">
        <f>Taimekasvatus!Y49</f>
        <v>0</v>
      </c>
      <c r="X81" s="157">
        <f>Taimekasvatus!Z49</f>
        <v>0</v>
      </c>
      <c r="Y81" s="157">
        <f>Taimekasvatus!AA49</f>
        <v>0</v>
      </c>
      <c r="Z81" s="157">
        <f>Taimekasvatus!AB49</f>
        <v>0</v>
      </c>
      <c r="AA81" s="157">
        <f>Taimekasvatus!AC49</f>
        <v>0</v>
      </c>
      <c r="AB81" s="157">
        <f>Taimekasvatus!AD49</f>
        <v>0</v>
      </c>
      <c r="AC81" s="157">
        <f>Taimekasvatus!AE49</f>
        <v>0</v>
      </c>
      <c r="AD81" s="157">
        <f>Taimekasvatus!AF49</f>
        <v>0</v>
      </c>
      <c r="AE81" s="157">
        <f>Taimekasvatus!AG49</f>
        <v>0</v>
      </c>
      <c r="AF81" s="157">
        <f>Taimekasvatus!AH49</f>
        <v>0</v>
      </c>
      <c r="AG81" s="157">
        <f>Taimekasvatus!AI49</f>
        <v>0</v>
      </c>
      <c r="AH81" s="157">
        <f>Taimekasvatus!AJ49</f>
        <v>0</v>
      </c>
      <c r="AI81" s="157">
        <f>Taimekasvatus!AK49</f>
        <v>0</v>
      </c>
      <c r="AJ81" s="157">
        <f>Taimekasvatus!AL49</f>
        <v>0</v>
      </c>
      <c r="AK81" s="157">
        <f>Taimekasvatus!AM49</f>
        <v>0</v>
      </c>
      <c r="AL81" s="157">
        <f>Taimekasvatus!AN49</f>
        <v>0</v>
      </c>
      <c r="AM81" s="157">
        <f>Taimekasvatus!AO49</f>
        <v>0</v>
      </c>
      <c r="AN81" s="157">
        <f>Taimekasvatus!AP49</f>
        <v>0</v>
      </c>
      <c r="AO81" s="157">
        <f>Taimekasvatus!AQ49</f>
        <v>0</v>
      </c>
      <c r="AP81" s="157">
        <f>Taimekasvatus!AR49</f>
        <v>0</v>
      </c>
      <c r="AQ81" s="157">
        <f>Taimekasvatus!AS49</f>
        <v>0</v>
      </c>
      <c r="AR81" s="157">
        <f>Taimekasvatus!AT49</f>
        <v>0</v>
      </c>
      <c r="AS81" s="42">
        <f t="shared" si="74"/>
        <v>0</v>
      </c>
      <c r="AU81" t="s">
        <v>73</v>
      </c>
      <c r="AY81" s="20">
        <f>Taimekasvatus!E117</f>
        <v>0</v>
      </c>
      <c r="AZ81" s="20" t="str">
        <f>Taimekasvatus!F117</f>
        <v>l/kg toodet</v>
      </c>
      <c r="BA81" s="20">
        <f>Taimekasvatus!G117</f>
        <v>0</v>
      </c>
      <c r="BB81" t="str">
        <f>IFERROR(VLOOKUP(AY81,'EFid TK'!$J$167:$L$190,3,FALSE),"0")</f>
        <v>0</v>
      </c>
      <c r="BC81">
        <f>BA81*BB81</f>
        <v>0</v>
      </c>
      <c r="BD81" s="445">
        <f>SUM(BC81:BC94)</f>
        <v>0</v>
      </c>
      <c r="BH81" s="20">
        <f>Loomakasvatus!C352</f>
        <v>0</v>
      </c>
      <c r="BI81" t="e">
        <f>Loomakasvatus!#REF!</f>
        <v>#REF!</v>
      </c>
      <c r="BJ81">
        <f>Loomakasvatus!D352</f>
        <v>0</v>
      </c>
      <c r="BL81">
        <f t="shared" si="73"/>
        <v>0</v>
      </c>
      <c r="BM81" s="21"/>
      <c r="BP81" s="20">
        <f>Loomakasvatus!C56</f>
        <v>0</v>
      </c>
      <c r="BQ81">
        <f>Loomakasvatus!C56</f>
        <v>0</v>
      </c>
      <c r="BR81">
        <f>Loomakasvatus!D56</f>
        <v>0</v>
      </c>
      <c r="BS81">
        <f t="shared" ref="BS81:BS89" si="91">IFERROR(VLOOKUP(BQ81,$CK$55:$CL$82,2,FALSE),0)</f>
        <v>0</v>
      </c>
      <c r="BT81">
        <f t="shared" si="80"/>
        <v>0</v>
      </c>
      <c r="BU81" s="21"/>
      <c r="BW81" s="20">
        <f>Loomakasvatus!C522</f>
        <v>0</v>
      </c>
      <c r="BX81" t="e">
        <f>Loomakasvatus!#REF!</f>
        <v>#REF!</v>
      </c>
      <c r="BY81">
        <f>Loomakasvatus!D522</f>
        <v>0</v>
      </c>
      <c r="CA81">
        <f t="shared" si="79"/>
        <v>0</v>
      </c>
      <c r="CB81" s="21"/>
      <c r="CK81" t="s">
        <v>692</v>
      </c>
      <c r="CL81">
        <f>SUM(Tootep_kalk!FU36:FU54)</f>
        <v>0</v>
      </c>
      <c r="DP81" t="str">
        <f>Tugitegevused!C99</f>
        <v>Vali</v>
      </c>
      <c r="DQ81">
        <f>Tugitegevused!D99</f>
        <v>0</v>
      </c>
      <c r="DR81">
        <f>Tugitegevused!E99</f>
        <v>0</v>
      </c>
      <c r="DS81" t="str">
        <f>IFERROR(VLOOKUP(DP81,EFid!$A$364:$B$411,2,FALSE),"0")</f>
        <v>0</v>
      </c>
      <c r="DT81">
        <f t="shared" si="86"/>
        <v>0</v>
      </c>
    </row>
    <row r="82" spans="1:124">
      <c r="B82" s="6" t="s">
        <v>693</v>
      </c>
      <c r="C82" t="s">
        <v>694</v>
      </c>
      <c r="E82" s="161">
        <f>'M1 - TK'!$B$23</f>
        <v>0.1</v>
      </c>
      <c r="F82" s="161">
        <f>'M1 - TK'!$B$23</f>
        <v>0.1</v>
      </c>
      <c r="G82" s="161">
        <f>'M1 - TK'!$B$23</f>
        <v>0.1</v>
      </c>
      <c r="H82" s="161">
        <f>'M1 - TK'!$B$23</f>
        <v>0.1</v>
      </c>
      <c r="I82" s="161">
        <f>'M1 - TK'!$B$23</f>
        <v>0.1</v>
      </c>
      <c r="J82" s="161">
        <f>'M1 - TK'!$B$23</f>
        <v>0.1</v>
      </c>
      <c r="K82" s="161">
        <f>'M1 - TK'!$B$23</f>
        <v>0.1</v>
      </c>
      <c r="L82" s="161">
        <f>'M1 - TK'!$B$23</f>
        <v>0.1</v>
      </c>
      <c r="M82" s="161">
        <f>'M1 - TK'!$B$23</f>
        <v>0.1</v>
      </c>
      <c r="N82" s="161">
        <f>'M1 - TK'!$B$23</f>
        <v>0.1</v>
      </c>
      <c r="O82" s="161">
        <f>'M1 - TK'!$B$23</f>
        <v>0.1</v>
      </c>
      <c r="P82" s="161">
        <f>'M1 - TK'!$B$23</f>
        <v>0.1</v>
      </c>
      <c r="Q82" s="161">
        <f>'M1 - TK'!$B$23</f>
        <v>0.1</v>
      </c>
      <c r="R82" s="161">
        <f>'M1 - TK'!$B$23</f>
        <v>0.1</v>
      </c>
      <c r="S82" s="161">
        <f>'M1 - TK'!$B$23</f>
        <v>0.1</v>
      </c>
      <c r="T82" s="161">
        <f>'M1 - TK'!$B$23</f>
        <v>0.1</v>
      </c>
      <c r="U82" s="161">
        <f>'M1 - TK'!$B$23</f>
        <v>0.1</v>
      </c>
      <c r="V82" s="161">
        <f>'M1 - TK'!$B$23</f>
        <v>0.1</v>
      </c>
      <c r="W82" s="161">
        <f>'M1 - TK'!$B$23</f>
        <v>0.1</v>
      </c>
      <c r="X82" s="161">
        <f>'M1 - TK'!$B$23</f>
        <v>0.1</v>
      </c>
      <c r="Y82" s="161">
        <f>'M1 - TK'!$B$23</f>
        <v>0.1</v>
      </c>
      <c r="Z82" s="161">
        <f>'M1 - TK'!$B$23</f>
        <v>0.1</v>
      </c>
      <c r="AA82" s="161">
        <f>'M1 - TK'!$B$23</f>
        <v>0.1</v>
      </c>
      <c r="AB82" s="161">
        <f>'M1 - TK'!$B$23</f>
        <v>0.1</v>
      </c>
      <c r="AC82" s="161">
        <f>'M1 - TK'!$B$23</f>
        <v>0.1</v>
      </c>
      <c r="AD82" s="161">
        <f>'M1 - TK'!$B$23</f>
        <v>0.1</v>
      </c>
      <c r="AE82" s="161">
        <f>'M1 - TK'!$B$23</f>
        <v>0.1</v>
      </c>
      <c r="AF82" s="161">
        <f>'M1 - TK'!$B$23</f>
        <v>0.1</v>
      </c>
      <c r="AG82" s="161">
        <f>'M1 - TK'!$B$23</f>
        <v>0.1</v>
      </c>
      <c r="AH82" s="161">
        <f>'M1 - TK'!$B$23</f>
        <v>0.1</v>
      </c>
      <c r="AI82" s="161">
        <f>'M1 - TK'!$B$23</f>
        <v>0.1</v>
      </c>
      <c r="AJ82" s="161">
        <f>'M1 - TK'!$B$23</f>
        <v>0.1</v>
      </c>
      <c r="AK82" s="161">
        <f>'M1 - TK'!$B$23</f>
        <v>0.1</v>
      </c>
      <c r="AL82" s="161">
        <f>'M1 - TK'!$B$23</f>
        <v>0.1</v>
      </c>
      <c r="AM82" s="161">
        <f>'M1 - TK'!$B$23</f>
        <v>0.1</v>
      </c>
      <c r="AN82" s="161">
        <f>'M1 - TK'!$B$23</f>
        <v>0.1</v>
      </c>
      <c r="AO82" s="161">
        <f>'M1 - TK'!$B$23</f>
        <v>0.1</v>
      </c>
      <c r="AP82" s="161">
        <f>'M1 - TK'!$B$23</f>
        <v>0.1</v>
      </c>
      <c r="AQ82" s="161">
        <f>'M1 - TK'!$B$23</f>
        <v>0.1</v>
      </c>
      <c r="AR82" s="161">
        <f>'M1 - TK'!$B$23</f>
        <v>0.1</v>
      </c>
      <c r="AS82" s="42">
        <f t="shared" si="74"/>
        <v>4.0000000000000018</v>
      </c>
      <c r="AU82" t="s">
        <v>695</v>
      </c>
      <c r="AY82" s="20">
        <f>Taimekasvatus!E118</f>
        <v>0</v>
      </c>
      <c r="AZ82" s="20" t="str">
        <f>Taimekasvatus!F118</f>
        <v>l/kg toodet</v>
      </c>
      <c r="BA82" s="20">
        <f>Taimekasvatus!G118</f>
        <v>0</v>
      </c>
      <c r="BB82" t="str">
        <f>IFERROR(VLOOKUP(AY82,'EFid TK'!$J$167:$L$190,3,FALSE),"0")</f>
        <v>0</v>
      </c>
      <c r="BC82">
        <f t="shared" ref="BC82:BC90" si="92">BA82*BB82</f>
        <v>0</v>
      </c>
      <c r="BD82" s="21"/>
      <c r="BH82" s="2">
        <f>Loomakasvatus!B353</f>
        <v>0</v>
      </c>
      <c r="BI82" s="3" t="str">
        <f>Loomakasvatus!C353</f>
        <v>Muu sööt</v>
      </c>
      <c r="BJ82" s="3" t="str">
        <f>Loomakasvatus!D353</f>
        <v>Kogus (kg)</v>
      </c>
      <c r="BK82" s="3"/>
      <c r="BL82" s="3"/>
      <c r="BM82" s="9"/>
      <c r="BP82" s="20">
        <f>Loomakasvatus!C57</f>
        <v>0</v>
      </c>
      <c r="BQ82">
        <f>Loomakasvatus!C57</f>
        <v>0</v>
      </c>
      <c r="BR82">
        <f>Loomakasvatus!D57</f>
        <v>0</v>
      </c>
      <c r="BS82">
        <f t="shared" si="91"/>
        <v>0</v>
      </c>
      <c r="BT82">
        <f t="shared" si="80"/>
        <v>0</v>
      </c>
      <c r="BU82" s="21"/>
      <c r="BW82" s="20">
        <f>Loomakasvatus!C523</f>
        <v>0</v>
      </c>
      <c r="BX82" t="e">
        <f>Loomakasvatus!#REF!</f>
        <v>#REF!</v>
      </c>
      <c r="BY82">
        <f>Loomakasvatus!D523</f>
        <v>0</v>
      </c>
      <c r="CA82">
        <f t="shared" si="79"/>
        <v>0</v>
      </c>
      <c r="CB82" s="21"/>
      <c r="CK82" t="s">
        <v>696</v>
      </c>
      <c r="CL82">
        <f>SUM(Tootep_kalk!FZ36:FZ54)</f>
        <v>0</v>
      </c>
      <c r="DP82" t="str">
        <f>Tugitegevused!C100</f>
        <v>Vali</v>
      </c>
      <c r="DQ82">
        <f>Tugitegevused!D100</f>
        <v>0</v>
      </c>
      <c r="DR82">
        <f>Tugitegevused!E100</f>
        <v>0</v>
      </c>
      <c r="DS82" t="str">
        <f>IFERROR(VLOOKUP(DP82,EFid!$A$364:$B$411,2,FALSE),"0")</f>
        <v>0</v>
      </c>
      <c r="DT82">
        <f t="shared" si="86"/>
        <v>0</v>
      </c>
    </row>
    <row r="83" spans="1:124">
      <c r="B83" s="47" t="s">
        <v>697</v>
      </c>
      <c r="C83" s="33" t="s">
        <v>698</v>
      </c>
      <c r="D83" s="33"/>
      <c r="E83" s="157">
        <f t="shared" ref="E83:AR83" si="93">E11</f>
        <v>0</v>
      </c>
      <c r="F83" s="157">
        <f t="shared" si="93"/>
        <v>0</v>
      </c>
      <c r="G83" s="157">
        <f t="shared" si="93"/>
        <v>0</v>
      </c>
      <c r="H83" s="157">
        <f t="shared" si="93"/>
        <v>0</v>
      </c>
      <c r="I83" s="157">
        <f t="shared" si="93"/>
        <v>0</v>
      </c>
      <c r="J83" s="157">
        <f t="shared" si="93"/>
        <v>0</v>
      </c>
      <c r="K83" s="157">
        <f t="shared" si="93"/>
        <v>0</v>
      </c>
      <c r="L83" s="157">
        <f t="shared" si="93"/>
        <v>0</v>
      </c>
      <c r="M83" s="157">
        <f t="shared" si="93"/>
        <v>0</v>
      </c>
      <c r="N83" s="157">
        <f t="shared" si="93"/>
        <v>0</v>
      </c>
      <c r="O83" s="157">
        <f t="shared" si="93"/>
        <v>0</v>
      </c>
      <c r="P83" s="157">
        <f t="shared" si="93"/>
        <v>0</v>
      </c>
      <c r="Q83" s="157">
        <f t="shared" si="93"/>
        <v>0</v>
      </c>
      <c r="R83" s="157">
        <f t="shared" si="93"/>
        <v>0</v>
      </c>
      <c r="S83" s="157">
        <f t="shared" si="93"/>
        <v>0</v>
      </c>
      <c r="T83" s="157">
        <f t="shared" si="93"/>
        <v>0</v>
      </c>
      <c r="U83" s="157">
        <f t="shared" si="93"/>
        <v>0</v>
      </c>
      <c r="V83" s="157">
        <f t="shared" si="93"/>
        <v>0</v>
      </c>
      <c r="W83" s="157">
        <f t="shared" si="93"/>
        <v>0</v>
      </c>
      <c r="X83" s="157">
        <f t="shared" si="93"/>
        <v>0</v>
      </c>
      <c r="Y83" s="157">
        <f t="shared" si="93"/>
        <v>0</v>
      </c>
      <c r="Z83" s="157">
        <f t="shared" si="93"/>
        <v>0</v>
      </c>
      <c r="AA83" s="157">
        <f t="shared" si="93"/>
        <v>0</v>
      </c>
      <c r="AB83" s="157">
        <f t="shared" si="93"/>
        <v>0</v>
      </c>
      <c r="AC83" s="157">
        <f t="shared" si="93"/>
        <v>0</v>
      </c>
      <c r="AD83" s="157">
        <f t="shared" si="93"/>
        <v>0</v>
      </c>
      <c r="AE83" s="157">
        <f t="shared" si="93"/>
        <v>0</v>
      </c>
      <c r="AF83" s="157">
        <f t="shared" si="93"/>
        <v>0</v>
      </c>
      <c r="AG83" s="157">
        <f t="shared" si="93"/>
        <v>0</v>
      </c>
      <c r="AH83" s="157">
        <f t="shared" si="93"/>
        <v>0</v>
      </c>
      <c r="AI83" s="157">
        <f t="shared" si="93"/>
        <v>0</v>
      </c>
      <c r="AJ83" s="157">
        <f t="shared" si="93"/>
        <v>0</v>
      </c>
      <c r="AK83" s="157">
        <f t="shared" si="93"/>
        <v>0</v>
      </c>
      <c r="AL83" s="157">
        <f t="shared" si="93"/>
        <v>0</v>
      </c>
      <c r="AM83" s="157">
        <f t="shared" si="93"/>
        <v>0</v>
      </c>
      <c r="AN83" s="157">
        <f t="shared" si="93"/>
        <v>0</v>
      </c>
      <c r="AO83" s="157">
        <f t="shared" si="93"/>
        <v>0</v>
      </c>
      <c r="AP83" s="157">
        <f t="shared" si="93"/>
        <v>0</v>
      </c>
      <c r="AQ83" s="157">
        <f t="shared" si="93"/>
        <v>0</v>
      </c>
      <c r="AR83" s="157">
        <f t="shared" si="93"/>
        <v>0</v>
      </c>
      <c r="AS83" s="42">
        <f t="shared" si="74"/>
        <v>0</v>
      </c>
      <c r="AU83" t="s">
        <v>73</v>
      </c>
      <c r="AV83" s="33"/>
      <c r="AW83" s="33"/>
      <c r="AY83" s="20">
        <f>Taimekasvatus!E119</f>
        <v>0</v>
      </c>
      <c r="AZ83" s="20" t="str">
        <f>Taimekasvatus!F119</f>
        <v>l/kg toodet</v>
      </c>
      <c r="BA83" s="20">
        <f>Taimekasvatus!G119</f>
        <v>0</v>
      </c>
      <c r="BB83" t="str">
        <f>IFERROR(VLOOKUP(AY83,'EFid TK'!$J$167:$L$190,3,FALSE),"0")</f>
        <v>0</v>
      </c>
      <c r="BC83">
        <f t="shared" si="92"/>
        <v>0</v>
      </c>
      <c r="BD83" s="88"/>
      <c r="BH83" s="6">
        <f>Loomakasvatus!C354</f>
        <v>0</v>
      </c>
      <c r="BI83" t="e">
        <f>Loomakasvatus!#REF!</f>
        <v>#REF!</v>
      </c>
      <c r="BJ83">
        <f>Loomakasvatus!D354</f>
        <v>0</v>
      </c>
      <c r="BK83">
        <f>IFERROR(VLOOKUP(BH83,'EFid TK'!$B$4:$C$36,2,FALSE),0)</f>
        <v>0</v>
      </c>
      <c r="BL83">
        <f t="shared" si="73"/>
        <v>0</v>
      </c>
      <c r="BM83" s="11"/>
      <c r="BP83" s="20">
        <f>Loomakasvatus!C58</f>
        <v>0</v>
      </c>
      <c r="BQ83">
        <f>Loomakasvatus!C58</f>
        <v>0</v>
      </c>
      <c r="BR83">
        <f>Loomakasvatus!D58</f>
        <v>0</v>
      </c>
      <c r="BS83">
        <f t="shared" si="91"/>
        <v>0</v>
      </c>
      <c r="BT83">
        <f t="shared" si="80"/>
        <v>0</v>
      </c>
      <c r="BU83" s="21"/>
      <c r="BW83" s="20">
        <f>Loomakasvatus!C524</f>
        <v>0</v>
      </c>
      <c r="BX83" t="e">
        <f>Loomakasvatus!#REF!</f>
        <v>#REF!</v>
      </c>
      <c r="BY83">
        <f>Loomakasvatus!D524</f>
        <v>0</v>
      </c>
      <c r="CA83">
        <f t="shared" si="79"/>
        <v>0</v>
      </c>
      <c r="CB83" s="21"/>
      <c r="DP83" t="str">
        <f>Tugitegevused!C101</f>
        <v>Vali</v>
      </c>
      <c r="DQ83">
        <f>Tugitegevused!D101</f>
        <v>0</v>
      </c>
      <c r="DR83">
        <f>Tugitegevused!E101</f>
        <v>0</v>
      </c>
      <c r="DS83" t="str">
        <f>IFERROR(VLOOKUP(DP83,EFid!$A$364:$B$411,2,FALSE),"0")</f>
        <v>0</v>
      </c>
      <c r="DT83">
        <f t="shared" si="86"/>
        <v>0</v>
      </c>
    </row>
    <row r="84" spans="1:124">
      <c r="B84" s="6" t="s">
        <v>699</v>
      </c>
      <c r="C84" t="s">
        <v>700</v>
      </c>
      <c r="E84" s="42">
        <f t="shared" ref="E84:AR84" si="94">E57</f>
        <v>0</v>
      </c>
      <c r="F84" s="42">
        <f t="shared" si="94"/>
        <v>0</v>
      </c>
      <c r="G84" s="42">
        <f t="shared" si="94"/>
        <v>0</v>
      </c>
      <c r="H84" s="42">
        <f t="shared" si="94"/>
        <v>0</v>
      </c>
      <c r="I84" s="42">
        <f t="shared" si="94"/>
        <v>0</v>
      </c>
      <c r="J84" s="42">
        <f t="shared" si="94"/>
        <v>0</v>
      </c>
      <c r="K84" s="42">
        <f t="shared" si="94"/>
        <v>0</v>
      </c>
      <c r="L84" s="42">
        <f t="shared" si="94"/>
        <v>0</v>
      </c>
      <c r="M84" s="42">
        <f t="shared" si="94"/>
        <v>0</v>
      </c>
      <c r="N84" s="42">
        <f t="shared" si="94"/>
        <v>0</v>
      </c>
      <c r="O84" s="42">
        <f t="shared" si="94"/>
        <v>0</v>
      </c>
      <c r="P84" s="42">
        <f t="shared" si="94"/>
        <v>0</v>
      </c>
      <c r="Q84" s="42">
        <f t="shared" si="94"/>
        <v>0</v>
      </c>
      <c r="R84" s="42">
        <f t="shared" si="94"/>
        <v>0</v>
      </c>
      <c r="S84" s="42">
        <f t="shared" si="94"/>
        <v>0</v>
      </c>
      <c r="T84" s="42">
        <f t="shared" si="94"/>
        <v>0</v>
      </c>
      <c r="U84" s="42">
        <f t="shared" si="94"/>
        <v>0</v>
      </c>
      <c r="V84" s="42">
        <f t="shared" si="94"/>
        <v>0</v>
      </c>
      <c r="W84" s="42">
        <f t="shared" si="94"/>
        <v>0</v>
      </c>
      <c r="X84" s="42">
        <f t="shared" si="94"/>
        <v>0</v>
      </c>
      <c r="Y84" s="42">
        <f t="shared" si="94"/>
        <v>0</v>
      </c>
      <c r="Z84" s="42">
        <f t="shared" si="94"/>
        <v>0</v>
      </c>
      <c r="AA84" s="42">
        <f t="shared" si="94"/>
        <v>0</v>
      </c>
      <c r="AB84" s="42">
        <f t="shared" si="94"/>
        <v>0</v>
      </c>
      <c r="AC84" s="42">
        <f t="shared" si="94"/>
        <v>0</v>
      </c>
      <c r="AD84" s="42">
        <f t="shared" si="94"/>
        <v>0</v>
      </c>
      <c r="AE84" s="42">
        <f t="shared" si="94"/>
        <v>0</v>
      </c>
      <c r="AF84" s="42">
        <f t="shared" si="94"/>
        <v>0</v>
      </c>
      <c r="AG84" s="42">
        <f t="shared" si="94"/>
        <v>0</v>
      </c>
      <c r="AH84" s="42">
        <f t="shared" si="94"/>
        <v>0</v>
      </c>
      <c r="AI84" s="42">
        <f t="shared" si="94"/>
        <v>0</v>
      </c>
      <c r="AJ84" s="42">
        <f t="shared" si="94"/>
        <v>0</v>
      </c>
      <c r="AK84" s="42">
        <f t="shared" si="94"/>
        <v>0</v>
      </c>
      <c r="AL84" s="42">
        <f t="shared" si="94"/>
        <v>0</v>
      </c>
      <c r="AM84" s="42">
        <f t="shared" si="94"/>
        <v>0</v>
      </c>
      <c r="AN84" s="42">
        <f t="shared" si="94"/>
        <v>0</v>
      </c>
      <c r="AO84" s="42">
        <f t="shared" si="94"/>
        <v>0</v>
      </c>
      <c r="AP84" s="42">
        <f t="shared" si="94"/>
        <v>0</v>
      </c>
      <c r="AQ84" s="42">
        <f t="shared" si="94"/>
        <v>0</v>
      </c>
      <c r="AR84" s="42">
        <f t="shared" si="94"/>
        <v>0</v>
      </c>
      <c r="AS84" s="42">
        <f t="shared" si="74"/>
        <v>0</v>
      </c>
      <c r="AU84" t="s">
        <v>73</v>
      </c>
      <c r="AY84" s="20">
        <f>Taimekasvatus!E120</f>
        <v>0</v>
      </c>
      <c r="AZ84" s="20" t="str">
        <f>Taimekasvatus!F120</f>
        <v>l/kg toodet</v>
      </c>
      <c r="BA84" s="20">
        <f>Taimekasvatus!G120</f>
        <v>0</v>
      </c>
      <c r="BB84" t="str">
        <f>IFERROR(VLOOKUP(AY84,'EFid TK'!$J$167:$L$190,3,FALSE),"0")</f>
        <v>0</v>
      </c>
      <c r="BC84">
        <f t="shared" si="92"/>
        <v>0</v>
      </c>
      <c r="BD84" s="21"/>
      <c r="BH84" s="6">
        <f>Loomakasvatus!C355</f>
        <v>0</v>
      </c>
      <c r="BI84" t="e">
        <f>Loomakasvatus!#REF!</f>
        <v>#REF!</v>
      </c>
      <c r="BJ84">
        <f>Loomakasvatus!D355</f>
        <v>0</v>
      </c>
      <c r="BK84">
        <f>IFERROR(VLOOKUP(BH84,'EFid TK'!$B$4:$C$36,2,FALSE),0)</f>
        <v>0</v>
      </c>
      <c r="BL84">
        <f t="shared" si="73"/>
        <v>0</v>
      </c>
      <c r="BM84" s="11"/>
      <c r="BP84" s="20">
        <f>Loomakasvatus!C59</f>
        <v>0</v>
      </c>
      <c r="BQ84">
        <f>Loomakasvatus!C59</f>
        <v>0</v>
      </c>
      <c r="BR84">
        <f>Loomakasvatus!D59</f>
        <v>0</v>
      </c>
      <c r="BS84">
        <f t="shared" si="91"/>
        <v>0</v>
      </c>
      <c r="BT84">
        <f t="shared" si="80"/>
        <v>0</v>
      </c>
      <c r="BU84" s="21"/>
      <c r="BW84" s="20">
        <f>Loomakasvatus!C525</f>
        <v>0</v>
      </c>
      <c r="BX84" t="e">
        <f>Loomakasvatus!#REF!</f>
        <v>#REF!</v>
      </c>
      <c r="BY84">
        <f>Loomakasvatus!D525</f>
        <v>0</v>
      </c>
      <c r="CA84">
        <f t="shared" si="79"/>
        <v>0</v>
      </c>
      <c r="CB84" s="21"/>
      <c r="DP84" t="str">
        <f>Tugitegevused!C102</f>
        <v>Vali</v>
      </c>
      <c r="DQ84">
        <f>Tugitegevused!D102</f>
        <v>0</v>
      </c>
      <c r="DR84">
        <f>Tugitegevused!E102</f>
        <v>0</v>
      </c>
      <c r="DS84" t="str">
        <f>IFERROR(VLOOKUP(DP84,EFid!$A$364:$B$411,2,FALSE),"0")</f>
        <v>0</v>
      </c>
      <c r="DT84">
        <f t="shared" si="86"/>
        <v>0</v>
      </c>
    </row>
    <row r="85" spans="1:124">
      <c r="B85" s="6" t="s">
        <v>701</v>
      </c>
      <c r="C85" t="s">
        <v>702</v>
      </c>
      <c r="E85" s="42">
        <f>'M1 - TK'!$B$25</f>
        <v>0.2</v>
      </c>
      <c r="F85" s="42">
        <f>'M1 - TK'!$B$25</f>
        <v>0.2</v>
      </c>
      <c r="G85" s="42">
        <f>'M1 - TK'!$B$25</f>
        <v>0.2</v>
      </c>
      <c r="H85" s="42">
        <f>'M1 - TK'!$B$25</f>
        <v>0.2</v>
      </c>
      <c r="I85" s="42">
        <f>'M1 - TK'!$B$25</f>
        <v>0.2</v>
      </c>
      <c r="J85" s="42">
        <f>'M1 - TK'!$B$25</f>
        <v>0.2</v>
      </c>
      <c r="K85" s="42">
        <f>'M1 - TK'!$B$25</f>
        <v>0.2</v>
      </c>
      <c r="L85" s="42">
        <f>'M1 - TK'!$B$25</f>
        <v>0.2</v>
      </c>
      <c r="M85" s="42">
        <f>'M1 - TK'!$B$25</f>
        <v>0.2</v>
      </c>
      <c r="N85" s="42">
        <f>'M1 - TK'!$B$25</f>
        <v>0.2</v>
      </c>
      <c r="O85" s="42">
        <f>'M1 - TK'!$B$25</f>
        <v>0.2</v>
      </c>
      <c r="P85" s="42">
        <f>'M1 - TK'!$B$25</f>
        <v>0.2</v>
      </c>
      <c r="Q85" s="42">
        <f>'M1 - TK'!$B$25</f>
        <v>0.2</v>
      </c>
      <c r="R85" s="42">
        <f>'M1 - TK'!$B$25</f>
        <v>0.2</v>
      </c>
      <c r="S85" s="42">
        <f>'M1 - TK'!$B$25</f>
        <v>0.2</v>
      </c>
      <c r="T85" s="42">
        <f>'M1 - TK'!$B$25</f>
        <v>0.2</v>
      </c>
      <c r="U85" s="42">
        <f>'M1 - TK'!$B$25</f>
        <v>0.2</v>
      </c>
      <c r="V85" s="42">
        <f>'M1 - TK'!$B$25</f>
        <v>0.2</v>
      </c>
      <c r="W85" s="42">
        <f>'M1 - TK'!$B$25</f>
        <v>0.2</v>
      </c>
      <c r="X85" s="42">
        <f>'M1 - TK'!$B$25</f>
        <v>0.2</v>
      </c>
      <c r="Y85" s="42">
        <f>'M1 - TK'!$B$25</f>
        <v>0.2</v>
      </c>
      <c r="Z85" s="42">
        <f>'M1 - TK'!$B$25</f>
        <v>0.2</v>
      </c>
      <c r="AA85" s="42">
        <f>'M1 - TK'!$B$25</f>
        <v>0.2</v>
      </c>
      <c r="AB85" s="42">
        <f>'M1 - TK'!$B$25</f>
        <v>0.2</v>
      </c>
      <c r="AC85" s="42">
        <f>'M1 - TK'!$B$25</f>
        <v>0.2</v>
      </c>
      <c r="AD85" s="42">
        <f>'M1 - TK'!$B$25</f>
        <v>0.2</v>
      </c>
      <c r="AE85" s="42">
        <f>'M1 - TK'!$B$25</f>
        <v>0.2</v>
      </c>
      <c r="AF85" s="42">
        <f>'M1 - TK'!$B$25</f>
        <v>0.2</v>
      </c>
      <c r="AG85" s="42">
        <f>'M1 - TK'!$B$25</f>
        <v>0.2</v>
      </c>
      <c r="AH85" s="42">
        <f>'M1 - TK'!$B$25</f>
        <v>0.2</v>
      </c>
      <c r="AI85" s="42">
        <f>'M1 - TK'!$B$25</f>
        <v>0.2</v>
      </c>
      <c r="AJ85" s="42">
        <f>'M1 - TK'!$B$25</f>
        <v>0.2</v>
      </c>
      <c r="AK85" s="42">
        <f>'M1 - TK'!$B$25</f>
        <v>0.2</v>
      </c>
      <c r="AL85" s="42">
        <f>'M1 - TK'!$B$25</f>
        <v>0.2</v>
      </c>
      <c r="AM85" s="42">
        <f>'M1 - TK'!$B$25</f>
        <v>0.2</v>
      </c>
      <c r="AN85" s="42">
        <f>'M1 - TK'!$B$25</f>
        <v>0.2</v>
      </c>
      <c r="AO85" s="42">
        <f>'M1 - TK'!$B$25</f>
        <v>0.2</v>
      </c>
      <c r="AP85" s="42">
        <f>'M1 - TK'!$B$25</f>
        <v>0.2</v>
      </c>
      <c r="AQ85" s="42">
        <f>'M1 - TK'!$B$25</f>
        <v>0.2</v>
      </c>
      <c r="AR85" s="42">
        <f>'M1 - TK'!$B$25</f>
        <v>0.2</v>
      </c>
      <c r="AS85" s="42">
        <f t="shared" si="74"/>
        <v>8.0000000000000036</v>
      </c>
      <c r="AU85" t="s">
        <v>703</v>
      </c>
      <c r="AY85" s="20">
        <f>Taimekasvatus!E121</f>
        <v>0</v>
      </c>
      <c r="AZ85" s="20" t="str">
        <f>Taimekasvatus!F121</f>
        <v>l/kg toodet</v>
      </c>
      <c r="BA85" s="20">
        <f>Taimekasvatus!G121</f>
        <v>0</v>
      </c>
      <c r="BB85" t="str">
        <f>IFERROR(VLOOKUP(AY85,'EFid TK'!$J$167:$L$190,3,FALSE),"0")</f>
        <v>0</v>
      </c>
      <c r="BC85">
        <f t="shared" si="92"/>
        <v>0</v>
      </c>
      <c r="BD85" s="21"/>
      <c r="BH85" s="6">
        <f>Loomakasvatus!C356</f>
        <v>0</v>
      </c>
      <c r="BI85" t="e">
        <f>Loomakasvatus!#REF!</f>
        <v>#REF!</v>
      </c>
      <c r="BJ85">
        <f>Loomakasvatus!D356</f>
        <v>0</v>
      </c>
      <c r="BK85">
        <f>IFERROR(VLOOKUP(BH85,'EFid TK'!$B$4:$C$36,2,FALSE),0)</f>
        <v>0</v>
      </c>
      <c r="BL85">
        <f t="shared" si="73"/>
        <v>0</v>
      </c>
      <c r="BM85" s="11"/>
      <c r="BP85" s="20">
        <f>Loomakasvatus!C60</f>
        <v>0</v>
      </c>
      <c r="BQ85">
        <f>Loomakasvatus!C60</f>
        <v>0</v>
      </c>
      <c r="BR85">
        <f>Loomakasvatus!D60</f>
        <v>0</v>
      </c>
      <c r="BS85">
        <f t="shared" si="91"/>
        <v>0</v>
      </c>
      <c r="BT85">
        <f t="shared" si="80"/>
        <v>0</v>
      </c>
      <c r="BU85" s="21"/>
      <c r="BW85" s="20">
        <f>Loomakasvatus!C526</f>
        <v>0</v>
      </c>
      <c r="BX85" t="e">
        <f>Loomakasvatus!#REF!</f>
        <v>#REF!</v>
      </c>
      <c r="BY85">
        <f>Loomakasvatus!D526</f>
        <v>0</v>
      </c>
      <c r="CA85">
        <f t="shared" si="79"/>
        <v>0</v>
      </c>
      <c r="CB85" s="21"/>
      <c r="DP85" t="str">
        <f>Tugitegevused!C103</f>
        <v>Vali</v>
      </c>
      <c r="DQ85">
        <f>Tugitegevused!D103</f>
        <v>0</v>
      </c>
      <c r="DR85">
        <f>Tugitegevused!E103</f>
        <v>0</v>
      </c>
      <c r="DS85" t="str">
        <f>IFERROR(VLOOKUP(DP85,EFid!$A$364:$B$411,2,FALSE),"0")</f>
        <v>0</v>
      </c>
      <c r="DT85">
        <f t="shared" si="86"/>
        <v>0</v>
      </c>
    </row>
    <row r="86" spans="1:124">
      <c r="B86" s="6" t="s">
        <v>704</v>
      </c>
      <c r="C86" t="s">
        <v>705</v>
      </c>
      <c r="E86" s="42">
        <f>'M1 - TK'!$B$20</f>
        <v>0.01</v>
      </c>
      <c r="F86" s="42">
        <f>'M1 - TK'!$B$20</f>
        <v>0.01</v>
      </c>
      <c r="G86" s="42">
        <f>'M1 - TK'!$B$20</f>
        <v>0.01</v>
      </c>
      <c r="H86" s="42">
        <f>'M1 - TK'!$B$20</f>
        <v>0.01</v>
      </c>
      <c r="I86" s="42">
        <f>'M1 - TK'!$B$20</f>
        <v>0.01</v>
      </c>
      <c r="J86" s="42">
        <f>'M1 - TK'!$B$20</f>
        <v>0.01</v>
      </c>
      <c r="K86" s="42">
        <f>'M1 - TK'!$B$20</f>
        <v>0.01</v>
      </c>
      <c r="L86" s="42">
        <f>'M1 - TK'!$B$20</f>
        <v>0.01</v>
      </c>
      <c r="M86" s="42">
        <f>'M1 - TK'!$B$20</f>
        <v>0.01</v>
      </c>
      <c r="N86" s="42">
        <f>'M1 - TK'!$B$20</f>
        <v>0.01</v>
      </c>
      <c r="O86" s="42">
        <f>'M1 - TK'!$B$20</f>
        <v>0.01</v>
      </c>
      <c r="P86" s="42">
        <f>'M1 - TK'!$B$20</f>
        <v>0.01</v>
      </c>
      <c r="Q86" s="42">
        <f>'M1 - TK'!$B$20</f>
        <v>0.01</v>
      </c>
      <c r="R86" s="42">
        <f>'M1 - TK'!$B$20</f>
        <v>0.01</v>
      </c>
      <c r="S86" s="42">
        <f>'M1 - TK'!$B$20</f>
        <v>0.01</v>
      </c>
      <c r="T86" s="42">
        <f>'M1 - TK'!$B$20</f>
        <v>0.01</v>
      </c>
      <c r="U86" s="42">
        <f>'M1 - TK'!$B$20</f>
        <v>0.01</v>
      </c>
      <c r="V86" s="42">
        <f>'M1 - TK'!$B$20</f>
        <v>0.01</v>
      </c>
      <c r="W86" s="42">
        <f>'M1 - TK'!$B$20</f>
        <v>0.01</v>
      </c>
      <c r="X86" s="42">
        <f>'M1 - TK'!$B$20</f>
        <v>0.01</v>
      </c>
      <c r="Y86" s="42">
        <f>'M1 - TK'!$B$20</f>
        <v>0.01</v>
      </c>
      <c r="Z86" s="42">
        <f>'M1 - TK'!$B$20</f>
        <v>0.01</v>
      </c>
      <c r="AA86" s="42">
        <f>'M1 - TK'!$B$20</f>
        <v>0.01</v>
      </c>
      <c r="AB86" s="42">
        <f>'M1 - TK'!$B$20</f>
        <v>0.01</v>
      </c>
      <c r="AC86" s="42">
        <f>'M1 - TK'!$B$20</f>
        <v>0.01</v>
      </c>
      <c r="AD86" s="42">
        <f>'M1 - TK'!$B$20</f>
        <v>0.01</v>
      </c>
      <c r="AE86" s="42">
        <f>'M1 - TK'!$B$20</f>
        <v>0.01</v>
      </c>
      <c r="AF86" s="42">
        <f>'M1 - TK'!$B$20</f>
        <v>0.01</v>
      </c>
      <c r="AG86" s="42">
        <f>'M1 - TK'!$B$20</f>
        <v>0.01</v>
      </c>
      <c r="AH86" s="42">
        <f>'M1 - TK'!$B$20</f>
        <v>0.01</v>
      </c>
      <c r="AI86" s="42">
        <f>'M1 - TK'!$B$20</f>
        <v>0.01</v>
      </c>
      <c r="AJ86" s="42">
        <f>'M1 - TK'!$B$20</f>
        <v>0.01</v>
      </c>
      <c r="AK86" s="42">
        <f>'M1 - TK'!$B$20</f>
        <v>0.01</v>
      </c>
      <c r="AL86" s="42">
        <f>'M1 - TK'!$B$20</f>
        <v>0.01</v>
      </c>
      <c r="AM86" s="42">
        <f>'M1 - TK'!$B$20</f>
        <v>0.01</v>
      </c>
      <c r="AN86" s="42">
        <f>'M1 - TK'!$B$20</f>
        <v>0.01</v>
      </c>
      <c r="AO86" s="42">
        <f>'M1 - TK'!$B$20</f>
        <v>0.01</v>
      </c>
      <c r="AP86" s="42">
        <f>'M1 - TK'!$B$20</f>
        <v>0.01</v>
      </c>
      <c r="AQ86" s="42">
        <f>'M1 - TK'!$B$20</f>
        <v>0.01</v>
      </c>
      <c r="AR86" s="42">
        <f>'M1 - TK'!$B$20</f>
        <v>0.01</v>
      </c>
      <c r="AS86" s="42">
        <f t="shared" si="74"/>
        <v>0.40000000000000019</v>
      </c>
      <c r="AU86" t="s">
        <v>706</v>
      </c>
      <c r="AY86" s="20">
        <f>Taimekasvatus!E122</f>
        <v>0</v>
      </c>
      <c r="AZ86" s="20" t="str">
        <f>Taimekasvatus!F122</f>
        <v>l/kg toodet</v>
      </c>
      <c r="BA86" s="20">
        <f>Taimekasvatus!G122</f>
        <v>0</v>
      </c>
      <c r="BB86" t="str">
        <f>IFERROR(VLOOKUP(AY86,'EFid TK'!$J$167:$L$190,3,FALSE),"0")</f>
        <v>0</v>
      </c>
      <c r="BC86">
        <f t="shared" si="92"/>
        <v>0</v>
      </c>
      <c r="BD86" s="88"/>
      <c r="BH86" s="6">
        <f>Loomakasvatus!C357</f>
        <v>0</v>
      </c>
      <c r="BI86" t="e">
        <f>Loomakasvatus!#REF!</f>
        <v>#REF!</v>
      </c>
      <c r="BJ86">
        <f>Loomakasvatus!D357</f>
        <v>0</v>
      </c>
      <c r="BK86">
        <f>IFERROR(VLOOKUP(BH86,'EFid TK'!$B$4:$C$36,2,FALSE),0)</f>
        <v>0</v>
      </c>
      <c r="BL86">
        <f t="shared" si="73"/>
        <v>0</v>
      </c>
      <c r="BM86" s="11"/>
      <c r="BP86" s="20">
        <f>Loomakasvatus!C61</f>
        <v>0</v>
      </c>
      <c r="BQ86">
        <f>Loomakasvatus!C61</f>
        <v>0</v>
      </c>
      <c r="BR86">
        <f>Loomakasvatus!D61</f>
        <v>0</v>
      </c>
      <c r="BS86">
        <f t="shared" si="91"/>
        <v>0</v>
      </c>
      <c r="BT86">
        <f t="shared" si="80"/>
        <v>0</v>
      </c>
      <c r="BU86" s="21"/>
      <c r="BW86" s="20">
        <f>Loomakasvatus!C527</f>
        <v>0</v>
      </c>
      <c r="BX86" t="e">
        <f>Loomakasvatus!#REF!</f>
        <v>#REF!</v>
      </c>
      <c r="BY86">
        <f>Loomakasvatus!D527</f>
        <v>0</v>
      </c>
      <c r="CA86">
        <f t="shared" si="79"/>
        <v>0</v>
      </c>
      <c r="CB86" s="21"/>
      <c r="DP86" t="str">
        <f>Tugitegevused!C104</f>
        <v>Vali</v>
      </c>
      <c r="DQ86">
        <f>Tugitegevused!D104</f>
        <v>0</v>
      </c>
      <c r="DR86">
        <f>Tugitegevused!E104</f>
        <v>0</v>
      </c>
      <c r="DS86" t="str">
        <f>IFERROR(VLOOKUP(DP86,EFid!$A$364:$B$411,2,FALSE),"0")</f>
        <v>0</v>
      </c>
      <c r="DT86">
        <f t="shared" si="86"/>
        <v>0</v>
      </c>
    </row>
    <row r="87" spans="1:124">
      <c r="A87" t="s">
        <v>707</v>
      </c>
      <c r="B87" s="176" t="s">
        <v>708</v>
      </c>
      <c r="C87" s="177"/>
      <c r="D87" s="177"/>
      <c r="E87" s="42">
        <f>E80*(44/28)</f>
        <v>0</v>
      </c>
      <c r="F87" s="42">
        <f t="shared" ref="F87:V87" si="95">F80*(44/28)</f>
        <v>0</v>
      </c>
      <c r="G87" s="42">
        <f t="shared" si="95"/>
        <v>0</v>
      </c>
      <c r="H87" s="42">
        <f t="shared" si="95"/>
        <v>0</v>
      </c>
      <c r="I87" s="42">
        <f t="shared" si="95"/>
        <v>0</v>
      </c>
      <c r="J87" s="42">
        <f t="shared" si="95"/>
        <v>0</v>
      </c>
      <c r="K87" s="42">
        <f t="shared" si="95"/>
        <v>0</v>
      </c>
      <c r="L87" s="42">
        <f t="shared" si="95"/>
        <v>0</v>
      </c>
      <c r="M87" s="42">
        <f t="shared" si="95"/>
        <v>0</v>
      </c>
      <c r="N87" s="42">
        <f t="shared" si="95"/>
        <v>0</v>
      </c>
      <c r="O87" s="42">
        <f t="shared" si="95"/>
        <v>0</v>
      </c>
      <c r="P87" s="42">
        <f t="shared" si="95"/>
        <v>0</v>
      </c>
      <c r="Q87" s="42">
        <f t="shared" si="95"/>
        <v>0</v>
      </c>
      <c r="R87" s="42">
        <f t="shared" si="95"/>
        <v>0</v>
      </c>
      <c r="S87" s="42">
        <f t="shared" si="95"/>
        <v>0</v>
      </c>
      <c r="T87" s="42">
        <f t="shared" si="95"/>
        <v>0</v>
      </c>
      <c r="U87" s="42">
        <f t="shared" si="95"/>
        <v>0</v>
      </c>
      <c r="V87" s="42">
        <f t="shared" si="95"/>
        <v>0</v>
      </c>
      <c r="W87" s="42">
        <f t="shared" ref="W87:X87" si="96">W80*(44/28)</f>
        <v>0</v>
      </c>
      <c r="X87" s="42">
        <f t="shared" si="96"/>
        <v>0</v>
      </c>
      <c r="Y87" s="42">
        <f t="shared" ref="Y87:AK87" si="97">Y80*(44/28)</f>
        <v>0</v>
      </c>
      <c r="Z87" s="42">
        <f t="shared" si="97"/>
        <v>0</v>
      </c>
      <c r="AA87" s="42">
        <f t="shared" si="97"/>
        <v>0</v>
      </c>
      <c r="AB87" s="42">
        <f t="shared" si="97"/>
        <v>0</v>
      </c>
      <c r="AC87" s="42">
        <f t="shared" si="97"/>
        <v>0</v>
      </c>
      <c r="AD87" s="42">
        <f t="shared" si="97"/>
        <v>0</v>
      </c>
      <c r="AE87" s="42">
        <f t="shared" si="97"/>
        <v>0</v>
      </c>
      <c r="AF87" s="42">
        <f t="shared" si="97"/>
        <v>0</v>
      </c>
      <c r="AG87" s="42">
        <f t="shared" si="97"/>
        <v>0</v>
      </c>
      <c r="AH87" s="42">
        <f t="shared" si="97"/>
        <v>0</v>
      </c>
      <c r="AI87" s="42">
        <f t="shared" si="97"/>
        <v>0</v>
      </c>
      <c r="AJ87" s="42">
        <f t="shared" si="97"/>
        <v>0</v>
      </c>
      <c r="AK87" s="42">
        <f t="shared" si="97"/>
        <v>0</v>
      </c>
      <c r="AL87" s="42">
        <f t="shared" ref="AL87:AO87" si="98">AL80*(44/28)</f>
        <v>0</v>
      </c>
      <c r="AM87" s="42">
        <f t="shared" si="98"/>
        <v>0</v>
      </c>
      <c r="AN87" s="42">
        <f t="shared" si="98"/>
        <v>0</v>
      </c>
      <c r="AO87" s="42">
        <f t="shared" si="98"/>
        <v>0</v>
      </c>
      <c r="AP87" s="42">
        <f t="shared" ref="AP87:AR87" si="99">AP80*(44/28)</f>
        <v>0</v>
      </c>
      <c r="AQ87" s="42">
        <f t="shared" si="99"/>
        <v>0</v>
      </c>
      <c r="AR87" s="42">
        <f t="shared" si="99"/>
        <v>0</v>
      </c>
      <c r="AS87" s="42">
        <f t="shared" si="74"/>
        <v>0</v>
      </c>
      <c r="AT87" t="s">
        <v>707</v>
      </c>
      <c r="AU87" t="s">
        <v>135</v>
      </c>
      <c r="AY87" s="20">
        <f>Taimekasvatus!E123</f>
        <v>0</v>
      </c>
      <c r="AZ87" s="20" t="str">
        <f>Taimekasvatus!F123</f>
        <v>l/kg toodet</v>
      </c>
      <c r="BA87" s="20">
        <f>Taimekasvatus!G123</f>
        <v>0</v>
      </c>
      <c r="BB87" t="str">
        <f>IFERROR(VLOOKUP(AY87,'EFid TK'!$J$167:$L$190,3,FALSE),"0")</f>
        <v>0</v>
      </c>
      <c r="BC87">
        <f t="shared" si="92"/>
        <v>0</v>
      </c>
      <c r="BD87" s="21"/>
      <c r="BH87" s="6">
        <f>Loomakasvatus!C358</f>
        <v>0</v>
      </c>
      <c r="BI87" t="e">
        <f>Loomakasvatus!#REF!</f>
        <v>#REF!</v>
      </c>
      <c r="BJ87">
        <f>Loomakasvatus!D358</f>
        <v>0</v>
      </c>
      <c r="BK87">
        <f>IFERROR(VLOOKUP(BH87,'EFid TK'!$B$4:$C$36,2,FALSE),0)</f>
        <v>0</v>
      </c>
      <c r="BL87">
        <f t="shared" si="73"/>
        <v>0</v>
      </c>
      <c r="BM87" s="11"/>
      <c r="BP87" s="20">
        <f>Loomakasvatus!C62</f>
        <v>0</v>
      </c>
      <c r="BQ87">
        <f>Loomakasvatus!C62</f>
        <v>0</v>
      </c>
      <c r="BR87">
        <f>Loomakasvatus!D62</f>
        <v>0</v>
      </c>
      <c r="BS87">
        <f t="shared" si="91"/>
        <v>0</v>
      </c>
      <c r="BT87">
        <f t="shared" si="80"/>
        <v>0</v>
      </c>
      <c r="BU87" s="21"/>
      <c r="BW87" s="20">
        <f>Loomakasvatus!C528</f>
        <v>0</v>
      </c>
      <c r="BX87" t="e">
        <f>Loomakasvatus!#REF!</f>
        <v>#REF!</v>
      </c>
      <c r="BY87">
        <f>Loomakasvatus!D528</f>
        <v>0</v>
      </c>
      <c r="CA87">
        <f t="shared" si="79"/>
        <v>0</v>
      </c>
      <c r="CB87" s="21"/>
      <c r="DP87" t="str">
        <f>Tugitegevused!C105</f>
        <v>Vali</v>
      </c>
      <c r="DQ87">
        <f>Tugitegevused!D105</f>
        <v>0</v>
      </c>
      <c r="DR87">
        <f>Tugitegevused!E105</f>
        <v>0</v>
      </c>
      <c r="DS87" t="str">
        <f>IFERROR(VLOOKUP(DP87,EFid!$A$364:$B$411,2,FALSE),"0")</f>
        <v>0</v>
      </c>
      <c r="DT87">
        <f t="shared" si="86"/>
        <v>0</v>
      </c>
    </row>
    <row r="88" spans="1:124" ht="15" thickBot="1">
      <c r="AS88" s="42">
        <f t="shared" si="74"/>
        <v>0</v>
      </c>
      <c r="AY88" s="20">
        <f>Taimekasvatus!E124</f>
        <v>0</v>
      </c>
      <c r="AZ88" s="20" t="str">
        <f>Taimekasvatus!F124</f>
        <v>l/kg toodet</v>
      </c>
      <c r="BA88" s="20">
        <f>Taimekasvatus!G124</f>
        <v>0</v>
      </c>
      <c r="BB88" t="str">
        <f>IFERROR(VLOOKUP(AY88,'EFid TK'!$J$167:$L$190,3,FALSE),"0")</f>
        <v>0</v>
      </c>
      <c r="BC88">
        <f t="shared" si="92"/>
        <v>0</v>
      </c>
      <c r="BD88" s="21"/>
      <c r="BH88" s="6">
        <f>Loomakasvatus!C359</f>
        <v>0</v>
      </c>
      <c r="BI88" t="e">
        <f>Loomakasvatus!#REF!</f>
        <v>#REF!</v>
      </c>
      <c r="BJ88">
        <f>Loomakasvatus!D359</f>
        <v>0</v>
      </c>
      <c r="BK88">
        <f>IFERROR(VLOOKUP(BH88,'EFid TK'!$B$4:$C$36,2,FALSE),0)</f>
        <v>0</v>
      </c>
      <c r="BL88">
        <f t="shared" si="73"/>
        <v>0</v>
      </c>
      <c r="BM88" s="11"/>
      <c r="BP88" s="20">
        <f>Loomakasvatus!C63</f>
        <v>0</v>
      </c>
      <c r="BQ88">
        <f>Loomakasvatus!C63</f>
        <v>0</v>
      </c>
      <c r="BR88">
        <f>Loomakasvatus!D63</f>
        <v>0</v>
      </c>
      <c r="BS88">
        <f t="shared" si="91"/>
        <v>0</v>
      </c>
      <c r="BT88">
        <f t="shared" si="80"/>
        <v>0</v>
      </c>
      <c r="BU88" s="21"/>
      <c r="BW88" s="58">
        <f>Loomakasvatus!C529</f>
        <v>0</v>
      </c>
      <c r="BX88" s="36" t="e">
        <f>Loomakasvatus!#REF!</f>
        <v>#REF!</v>
      </c>
      <c r="BY88" s="36">
        <f>Loomakasvatus!D529</f>
        <v>0</v>
      </c>
      <c r="BZ88" s="36"/>
      <c r="CA88" s="36">
        <f t="shared" si="79"/>
        <v>0</v>
      </c>
      <c r="CB88" s="37"/>
      <c r="DP88" t="str">
        <f>Tugitegevused!C106</f>
        <v>Vali</v>
      </c>
      <c r="DQ88">
        <f>Tugitegevused!D106</f>
        <v>0</v>
      </c>
      <c r="DR88">
        <f>Tugitegevused!E106</f>
        <v>0</v>
      </c>
      <c r="DS88" t="str">
        <f>IFERROR(VLOOKUP(DP88,EFid!$A$364:$B$411,2,FALSE),"0")</f>
        <v>0</v>
      </c>
      <c r="DT88">
        <f t="shared" si="86"/>
        <v>0</v>
      </c>
    </row>
    <row r="89" spans="1:124" ht="15" thickBot="1">
      <c r="A89" t="s">
        <v>709</v>
      </c>
      <c r="B89" s="38" t="s">
        <v>710</v>
      </c>
      <c r="C89" s="39"/>
      <c r="D89" s="3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42">
        <f t="shared" si="74"/>
        <v>0</v>
      </c>
      <c r="AY89" s="20">
        <f>Taimekasvatus!E125</f>
        <v>0</v>
      </c>
      <c r="AZ89" s="20" t="str">
        <f>Taimekasvatus!F125</f>
        <v>l/kg toodet</v>
      </c>
      <c r="BA89" s="20">
        <f>Taimekasvatus!G125</f>
        <v>0</v>
      </c>
      <c r="BB89" t="str">
        <f>IFERROR(VLOOKUP(AY89,'EFid TK'!$J$167:$L$190,3,FALSE),"0")</f>
        <v>0</v>
      </c>
      <c r="BC89">
        <f t="shared" si="92"/>
        <v>0</v>
      </c>
      <c r="BD89" s="21"/>
      <c r="BH89" s="6">
        <f>Loomakasvatus!C360</f>
        <v>0</v>
      </c>
      <c r="BI89" t="e">
        <f>Loomakasvatus!#REF!</f>
        <v>#REF!</v>
      </c>
      <c r="BJ89">
        <f>Loomakasvatus!D360</f>
        <v>0</v>
      </c>
      <c r="BK89">
        <f>IFERROR(VLOOKUP(BH89,'EFid TK'!$B$4:$C$36,2,FALSE),0)</f>
        <v>0</v>
      </c>
      <c r="BL89">
        <f t="shared" si="73"/>
        <v>0</v>
      </c>
      <c r="BM89" s="11"/>
      <c r="BP89" s="20">
        <f>Loomakasvatus!C64</f>
        <v>0</v>
      </c>
      <c r="BQ89">
        <f>Loomakasvatus!C64</f>
        <v>0</v>
      </c>
      <c r="BR89">
        <f>Loomakasvatus!D64</f>
        <v>0</v>
      </c>
      <c r="BS89">
        <f t="shared" si="91"/>
        <v>0</v>
      </c>
      <c r="BT89">
        <f t="shared" si="80"/>
        <v>0</v>
      </c>
      <c r="BU89" s="21"/>
      <c r="BW89" s="15">
        <f>Loomakasvatus!B530</f>
        <v>0</v>
      </c>
      <c r="BX89" s="16" t="str">
        <f>Loomakasvatus!C530</f>
        <v>Muu sööt</v>
      </c>
      <c r="BY89" s="16" t="str">
        <f>Loomakasvatus!D530</f>
        <v>Kogus (kg)</v>
      </c>
      <c r="BZ89" s="16"/>
      <c r="CA89" s="16"/>
      <c r="CB89" s="17"/>
      <c r="DP89" t="str">
        <f>Tugitegevused!C107</f>
        <v>Vali</v>
      </c>
      <c r="DQ89">
        <f>Tugitegevused!D107</f>
        <v>0</v>
      </c>
      <c r="DR89">
        <f>Tugitegevused!E107</f>
        <v>0</v>
      </c>
      <c r="DS89" t="str">
        <f>IFERROR(VLOOKUP(DP89,EFid!$A$364:$B$411,2,FALSE),"0")</f>
        <v>0</v>
      </c>
      <c r="DT89">
        <f t="shared" si="86"/>
        <v>0</v>
      </c>
    </row>
    <row r="90" spans="1:124">
      <c r="B90" s="6" t="s">
        <v>711</v>
      </c>
      <c r="C90" t="s">
        <v>712</v>
      </c>
      <c r="E90" s="161">
        <f>(E91+E92+E93+E94)*E95*E96</f>
        <v>0</v>
      </c>
      <c r="F90" s="161">
        <f t="shared" ref="F90:V90" si="100">(F91+F92+F93+F94)*F95*F96</f>
        <v>0</v>
      </c>
      <c r="G90" s="161">
        <f t="shared" si="100"/>
        <v>0</v>
      </c>
      <c r="H90" s="161">
        <f t="shared" si="100"/>
        <v>0</v>
      </c>
      <c r="I90" s="161">
        <f t="shared" si="100"/>
        <v>0</v>
      </c>
      <c r="J90" s="161">
        <f t="shared" si="100"/>
        <v>0</v>
      </c>
      <c r="K90" s="161">
        <f t="shared" si="100"/>
        <v>0</v>
      </c>
      <c r="L90" s="161">
        <f t="shared" si="100"/>
        <v>0</v>
      </c>
      <c r="M90" s="161">
        <f t="shared" si="100"/>
        <v>0</v>
      </c>
      <c r="N90" s="161">
        <f t="shared" si="100"/>
        <v>0</v>
      </c>
      <c r="O90" s="161">
        <f t="shared" si="100"/>
        <v>0</v>
      </c>
      <c r="P90" s="161">
        <f t="shared" si="100"/>
        <v>0</v>
      </c>
      <c r="Q90" s="161">
        <f t="shared" si="100"/>
        <v>0</v>
      </c>
      <c r="R90" s="161">
        <f t="shared" si="100"/>
        <v>0</v>
      </c>
      <c r="S90" s="161">
        <f t="shared" si="100"/>
        <v>0</v>
      </c>
      <c r="T90" s="161">
        <f t="shared" si="100"/>
        <v>0</v>
      </c>
      <c r="U90" s="161">
        <f t="shared" si="100"/>
        <v>0</v>
      </c>
      <c r="V90" s="161">
        <f t="shared" si="100"/>
        <v>0</v>
      </c>
      <c r="W90" s="161">
        <f t="shared" ref="W90" si="101">(W91+W92+W93+W94)*W95*W96</f>
        <v>0</v>
      </c>
      <c r="X90" s="161">
        <f t="shared" ref="X90" si="102">(X91+X92+X93+X94)*X95*X96</f>
        <v>0</v>
      </c>
      <c r="Y90" s="161">
        <f t="shared" ref="Y90" si="103">(Y91+Y92+Y93+Y94)*Y95*Y96</f>
        <v>0</v>
      </c>
      <c r="Z90" s="161">
        <f t="shared" ref="Z90" si="104">(Z91+Z92+Z93+Z94)*Z95*Z96</f>
        <v>0</v>
      </c>
      <c r="AA90" s="161">
        <f t="shared" ref="AA90" si="105">(AA91+AA92+AA93+AA94)*AA95*AA96</f>
        <v>0</v>
      </c>
      <c r="AB90" s="161">
        <f t="shared" ref="AB90" si="106">(AB91+AB92+AB93+AB94)*AB95*AB96</f>
        <v>0</v>
      </c>
      <c r="AC90" s="161">
        <f t="shared" ref="AC90" si="107">(AC91+AC92+AC93+AC94)*AC95*AC96</f>
        <v>0</v>
      </c>
      <c r="AD90" s="161">
        <f t="shared" ref="AD90" si="108">(AD91+AD92+AD93+AD94)*AD95*AD96</f>
        <v>0</v>
      </c>
      <c r="AE90" s="161">
        <f t="shared" ref="AE90" si="109">(AE91+AE92+AE93+AE94)*AE95*AE96</f>
        <v>0</v>
      </c>
      <c r="AF90" s="161">
        <f t="shared" ref="AF90" si="110">(AF91+AF92+AF93+AF94)*AF95*AF96</f>
        <v>0</v>
      </c>
      <c r="AG90" s="161">
        <f t="shared" ref="AG90" si="111">(AG91+AG92+AG93+AG94)*AG95*AG96</f>
        <v>0</v>
      </c>
      <c r="AH90" s="161">
        <f t="shared" ref="AH90" si="112">(AH91+AH92+AH93+AH94)*AH95*AH96</f>
        <v>0</v>
      </c>
      <c r="AI90" s="161">
        <f t="shared" ref="AI90" si="113">(AI91+AI92+AI93+AI94)*AI95*AI96</f>
        <v>0</v>
      </c>
      <c r="AJ90" s="161">
        <f t="shared" ref="AJ90" si="114">(AJ91+AJ92+AJ93+AJ94)*AJ95*AJ96</f>
        <v>0</v>
      </c>
      <c r="AK90" s="161">
        <f t="shared" ref="AK90" si="115">(AK91+AK92+AK93+AK94)*AK95*AK96</f>
        <v>0</v>
      </c>
      <c r="AL90" s="161">
        <f t="shared" ref="AL90" si="116">(AL91+AL92+AL93+AL94)*AL95*AL96</f>
        <v>0</v>
      </c>
      <c r="AM90" s="161">
        <f t="shared" ref="AM90" si="117">(AM91+AM92+AM93+AM94)*AM95*AM96</f>
        <v>0</v>
      </c>
      <c r="AN90" s="161">
        <f t="shared" ref="AN90" si="118">(AN91+AN92+AN93+AN94)*AN95*AN96</f>
        <v>0</v>
      </c>
      <c r="AO90" s="161">
        <f t="shared" ref="AO90" si="119">(AO91+AO92+AO93+AO94)*AO95*AO96</f>
        <v>0</v>
      </c>
      <c r="AP90" s="161">
        <f t="shared" ref="AP90" si="120">(AP91+AP92+AP93+AP94)*AP95*AP96</f>
        <v>0</v>
      </c>
      <c r="AQ90" s="161">
        <f t="shared" ref="AQ90:AR90" si="121">(AQ91+AQ92+AQ93+AQ94)*AQ95*AQ96</f>
        <v>0</v>
      </c>
      <c r="AR90" s="161">
        <f t="shared" si="121"/>
        <v>0</v>
      </c>
      <c r="AS90" s="443">
        <f t="shared" si="74"/>
        <v>0</v>
      </c>
      <c r="AT90" s="444" t="s">
        <v>709</v>
      </c>
      <c r="AU90" t="s">
        <v>609</v>
      </c>
      <c r="AY90" s="20">
        <f>Taimekasvatus!E126</f>
        <v>0</v>
      </c>
      <c r="AZ90" s="20" t="str">
        <f>Taimekasvatus!F126</f>
        <v>l/kg toodet</v>
      </c>
      <c r="BA90" s="20">
        <f>Taimekasvatus!G126</f>
        <v>0</v>
      </c>
      <c r="BB90" t="str">
        <f>IFERROR(VLOOKUP(AY90,'EFid TK'!$J$167:$L$190,3,FALSE),"0")</f>
        <v>0</v>
      </c>
      <c r="BC90">
        <f t="shared" si="92"/>
        <v>0</v>
      </c>
      <c r="BD90" s="21"/>
      <c r="BH90" s="6">
        <f>Loomakasvatus!C361</f>
        <v>0</v>
      </c>
      <c r="BI90" t="e">
        <f>Loomakasvatus!#REF!</f>
        <v>#REF!</v>
      </c>
      <c r="BJ90">
        <f>Loomakasvatus!D361</f>
        <v>0</v>
      </c>
      <c r="BK90">
        <f>IFERROR(VLOOKUP(BH90,'EFid TK'!$B$4:$C$36,2,FALSE),0)</f>
        <v>0</v>
      </c>
      <c r="BL90">
        <f t="shared" si="73"/>
        <v>0</v>
      </c>
      <c r="BM90" s="11"/>
      <c r="BP90" s="15">
        <f>Loomakasvatus!B65</f>
        <v>0</v>
      </c>
      <c r="BQ90" s="16" t="str">
        <f>Loomakasvatus!C65</f>
        <v>Muu sööt</v>
      </c>
      <c r="BR90" s="16" t="str">
        <f>Loomakasvatus!D65</f>
        <v>Kogus (kg)</v>
      </c>
      <c r="BS90" s="16"/>
      <c r="BT90" s="16"/>
      <c r="BU90" s="17"/>
      <c r="BW90" s="20">
        <f>Loomakasvatus!C531</f>
        <v>0</v>
      </c>
      <c r="BY90">
        <f>Loomakasvatus!D531</f>
        <v>0</v>
      </c>
      <c r="BZ90">
        <f>IFERROR(VLOOKUP(BW90,'EFid TK'!$B$4:$C$36,2,FALSE),0)</f>
        <v>0</v>
      </c>
      <c r="CA90">
        <f t="shared" si="79"/>
        <v>0</v>
      </c>
      <c r="CB90" s="21"/>
      <c r="DP90" t="str">
        <f>Tugitegevused!C108</f>
        <v>Vali</v>
      </c>
      <c r="DQ90">
        <f>Tugitegevused!D108</f>
        <v>0</v>
      </c>
      <c r="DR90">
        <f>Tugitegevused!E108</f>
        <v>0</v>
      </c>
      <c r="DS90" t="str">
        <f>IFERROR(VLOOKUP(DP90,EFid!$A$364:$B$411,2,FALSE),"0")</f>
        <v>0</v>
      </c>
      <c r="DT90">
        <f t="shared" si="86"/>
        <v>0</v>
      </c>
    </row>
    <row r="91" spans="1:124">
      <c r="B91" s="47" t="s">
        <v>690</v>
      </c>
      <c r="C91" s="33" t="s">
        <v>713</v>
      </c>
      <c r="D91" s="33"/>
      <c r="E91" s="157">
        <f>Taimekasvatus!G49</f>
        <v>0</v>
      </c>
      <c r="F91" s="157">
        <f>Taimekasvatus!H49</f>
        <v>0</v>
      </c>
      <c r="G91" s="157">
        <f>Taimekasvatus!I49</f>
        <v>0</v>
      </c>
      <c r="H91" s="157">
        <f>Taimekasvatus!J49</f>
        <v>0</v>
      </c>
      <c r="I91" s="157">
        <f>Taimekasvatus!K49</f>
        <v>0</v>
      </c>
      <c r="J91" s="157">
        <f>Taimekasvatus!L49</f>
        <v>0</v>
      </c>
      <c r="K91" s="157">
        <f>Taimekasvatus!M49</f>
        <v>0</v>
      </c>
      <c r="L91" s="157">
        <f>Taimekasvatus!N49</f>
        <v>0</v>
      </c>
      <c r="M91" s="157">
        <f>Taimekasvatus!O49</f>
        <v>0</v>
      </c>
      <c r="N91" s="157">
        <f>Taimekasvatus!P49</f>
        <v>0</v>
      </c>
      <c r="O91" s="157">
        <f>Taimekasvatus!Q49</f>
        <v>0</v>
      </c>
      <c r="P91" s="157">
        <f>Taimekasvatus!R49</f>
        <v>0</v>
      </c>
      <c r="Q91" s="157">
        <f>Taimekasvatus!S49</f>
        <v>0</v>
      </c>
      <c r="R91" s="157">
        <f>Taimekasvatus!T49</f>
        <v>0</v>
      </c>
      <c r="S91" s="157">
        <f>Taimekasvatus!U49</f>
        <v>0</v>
      </c>
      <c r="T91" s="157">
        <f>Taimekasvatus!V49</f>
        <v>0</v>
      </c>
      <c r="U91" s="157">
        <f>Taimekasvatus!W49</f>
        <v>0</v>
      </c>
      <c r="V91" s="157">
        <f>Taimekasvatus!X49</f>
        <v>0</v>
      </c>
      <c r="W91" s="157">
        <f>Taimekasvatus!Y49</f>
        <v>0</v>
      </c>
      <c r="X91" s="157">
        <f>Taimekasvatus!Z49</f>
        <v>0</v>
      </c>
      <c r="Y91" s="157">
        <f>Taimekasvatus!AA49</f>
        <v>0</v>
      </c>
      <c r="Z91" s="157">
        <f>Taimekasvatus!AB49</f>
        <v>0</v>
      </c>
      <c r="AA91" s="157">
        <f>Taimekasvatus!AC49</f>
        <v>0</v>
      </c>
      <c r="AB91" s="157">
        <f>Taimekasvatus!AD49</f>
        <v>0</v>
      </c>
      <c r="AC91" s="157">
        <f>Taimekasvatus!AE49</f>
        <v>0</v>
      </c>
      <c r="AD91" s="157">
        <f>Taimekasvatus!AF49</f>
        <v>0</v>
      </c>
      <c r="AE91" s="157">
        <f>Taimekasvatus!AG49</f>
        <v>0</v>
      </c>
      <c r="AF91" s="157">
        <f>Taimekasvatus!AH49</f>
        <v>0</v>
      </c>
      <c r="AG91" s="157">
        <f>Taimekasvatus!AI49</f>
        <v>0</v>
      </c>
      <c r="AH91" s="157">
        <f>Taimekasvatus!AJ49</f>
        <v>0</v>
      </c>
      <c r="AI91" s="157">
        <f>Taimekasvatus!AK49</f>
        <v>0</v>
      </c>
      <c r="AJ91" s="157">
        <f>Taimekasvatus!AL49</f>
        <v>0</v>
      </c>
      <c r="AK91" s="157">
        <f>Taimekasvatus!AM49</f>
        <v>0</v>
      </c>
      <c r="AL91" s="157">
        <f>Taimekasvatus!AN49</f>
        <v>0</v>
      </c>
      <c r="AM91" s="157">
        <f>Taimekasvatus!AO49</f>
        <v>0</v>
      </c>
      <c r="AN91" s="157">
        <f>Taimekasvatus!AP49</f>
        <v>0</v>
      </c>
      <c r="AO91" s="157">
        <f>Taimekasvatus!AQ49</f>
        <v>0</v>
      </c>
      <c r="AP91" s="157">
        <f>Taimekasvatus!AR49</f>
        <v>0</v>
      </c>
      <c r="AQ91" s="157">
        <f>Taimekasvatus!AS49</f>
        <v>0</v>
      </c>
      <c r="AR91" s="157">
        <f>Taimekasvatus!AT49</f>
        <v>0</v>
      </c>
      <c r="AS91" s="42">
        <f t="shared" si="74"/>
        <v>0</v>
      </c>
      <c r="AU91" t="s">
        <v>73</v>
      </c>
      <c r="AY91" s="20" t="str">
        <f>Taimekasvatus!E127</f>
        <v>Toode</v>
      </c>
      <c r="AZ91" s="20" t="str">
        <f>Taimekasvatus!F127</f>
        <v>Kogus</v>
      </c>
      <c r="BA91" s="20" t="str">
        <f>Taimekasvatus!G127</f>
        <v>Heitetegur (kg CO2-ekv/kg)</v>
      </c>
      <c r="BD91" s="21"/>
      <c r="BH91" s="6">
        <f>Loomakasvatus!C362</f>
        <v>0</v>
      </c>
      <c r="BI91" t="e">
        <f>Loomakasvatus!#REF!</f>
        <v>#REF!</v>
      </c>
      <c r="BJ91">
        <f>Loomakasvatus!D362</f>
        <v>0</v>
      </c>
      <c r="BK91">
        <f>IFERROR(VLOOKUP(BH91,'EFid TK'!$B$4:$C$36,2,FALSE),0)</f>
        <v>0</v>
      </c>
      <c r="BL91">
        <f t="shared" ref="BL91:BL94" si="122">BK91*BJ91</f>
        <v>0</v>
      </c>
      <c r="BM91" s="11"/>
      <c r="BP91" s="20">
        <f>Loomakasvatus!C66</f>
        <v>0</v>
      </c>
      <c r="BR91">
        <f>Loomakasvatus!D66</f>
        <v>0</v>
      </c>
      <c r="BS91">
        <f>IFERROR(VLOOKUP(BP91,'EFid TK'!$B$4:$C$36,2,FALSE),0)</f>
        <v>0</v>
      </c>
      <c r="BT91">
        <f t="shared" si="80"/>
        <v>0</v>
      </c>
      <c r="BU91" s="21"/>
      <c r="BW91" s="20">
        <f>Loomakasvatus!C532</f>
        <v>0</v>
      </c>
      <c r="BY91">
        <f>Loomakasvatus!D532</f>
        <v>0</v>
      </c>
      <c r="BZ91">
        <f>IFERROR(VLOOKUP(BW91,'EFid TK'!$B$4:$C$36,2,FALSE),0)</f>
        <v>0</v>
      </c>
      <c r="CA91">
        <f t="shared" si="79"/>
        <v>0</v>
      </c>
      <c r="CB91" s="21"/>
      <c r="DP91" t="str">
        <f>Tugitegevused!C109</f>
        <v>Vali</v>
      </c>
      <c r="DQ91">
        <f>Tugitegevused!D109</f>
        <v>0</v>
      </c>
      <c r="DR91">
        <f>Tugitegevused!E109</f>
        <v>0</v>
      </c>
      <c r="DS91" t="str">
        <f>IFERROR(VLOOKUP(DP91,EFid!$A$364:$B$411,2,FALSE),"0")</f>
        <v>0</v>
      </c>
      <c r="DT91">
        <f t="shared" si="86"/>
        <v>0</v>
      </c>
    </row>
    <row r="92" spans="1:124">
      <c r="B92" s="47" t="s">
        <v>697</v>
      </c>
      <c r="C92" s="33" t="s">
        <v>714</v>
      </c>
      <c r="D92" s="33"/>
      <c r="E92" s="157">
        <f t="shared" ref="E92:AR92" si="123">E11</f>
        <v>0</v>
      </c>
      <c r="F92" s="157">
        <f t="shared" si="123"/>
        <v>0</v>
      </c>
      <c r="G92" s="157">
        <f t="shared" si="123"/>
        <v>0</v>
      </c>
      <c r="H92" s="157">
        <f t="shared" si="123"/>
        <v>0</v>
      </c>
      <c r="I92" s="157">
        <f t="shared" si="123"/>
        <v>0</v>
      </c>
      <c r="J92" s="157">
        <f t="shared" si="123"/>
        <v>0</v>
      </c>
      <c r="K92" s="157">
        <f t="shared" si="123"/>
        <v>0</v>
      </c>
      <c r="L92" s="157">
        <f t="shared" si="123"/>
        <v>0</v>
      </c>
      <c r="M92" s="157">
        <f t="shared" si="123"/>
        <v>0</v>
      </c>
      <c r="N92" s="157">
        <f t="shared" si="123"/>
        <v>0</v>
      </c>
      <c r="O92" s="157">
        <f t="shared" si="123"/>
        <v>0</v>
      </c>
      <c r="P92" s="157">
        <f t="shared" si="123"/>
        <v>0</v>
      </c>
      <c r="Q92" s="157">
        <f t="shared" si="123"/>
        <v>0</v>
      </c>
      <c r="R92" s="157">
        <f t="shared" si="123"/>
        <v>0</v>
      </c>
      <c r="S92" s="157">
        <f t="shared" si="123"/>
        <v>0</v>
      </c>
      <c r="T92" s="157">
        <f t="shared" si="123"/>
        <v>0</v>
      </c>
      <c r="U92" s="157">
        <f t="shared" si="123"/>
        <v>0</v>
      </c>
      <c r="V92" s="157">
        <f t="shared" si="123"/>
        <v>0</v>
      </c>
      <c r="W92" s="157">
        <f t="shared" si="123"/>
        <v>0</v>
      </c>
      <c r="X92" s="157">
        <f t="shared" si="123"/>
        <v>0</v>
      </c>
      <c r="Y92" s="157">
        <f t="shared" si="123"/>
        <v>0</v>
      </c>
      <c r="Z92" s="157">
        <f t="shared" si="123"/>
        <v>0</v>
      </c>
      <c r="AA92" s="157">
        <f t="shared" si="123"/>
        <v>0</v>
      </c>
      <c r="AB92" s="157">
        <f t="shared" si="123"/>
        <v>0</v>
      </c>
      <c r="AC92" s="157">
        <f t="shared" si="123"/>
        <v>0</v>
      </c>
      <c r="AD92" s="157">
        <f t="shared" si="123"/>
        <v>0</v>
      </c>
      <c r="AE92" s="157">
        <f t="shared" si="123"/>
        <v>0</v>
      </c>
      <c r="AF92" s="157">
        <f t="shared" si="123"/>
        <v>0</v>
      </c>
      <c r="AG92" s="157">
        <f t="shared" si="123"/>
        <v>0</v>
      </c>
      <c r="AH92" s="157">
        <f t="shared" si="123"/>
        <v>0</v>
      </c>
      <c r="AI92" s="157">
        <f t="shared" si="123"/>
        <v>0</v>
      </c>
      <c r="AJ92" s="157">
        <f t="shared" si="123"/>
        <v>0</v>
      </c>
      <c r="AK92" s="157">
        <f t="shared" si="123"/>
        <v>0</v>
      </c>
      <c r="AL92" s="157">
        <f t="shared" si="123"/>
        <v>0</v>
      </c>
      <c r="AM92" s="157">
        <f t="shared" si="123"/>
        <v>0</v>
      </c>
      <c r="AN92" s="157">
        <f t="shared" si="123"/>
        <v>0</v>
      </c>
      <c r="AO92" s="157">
        <f t="shared" si="123"/>
        <v>0</v>
      </c>
      <c r="AP92" s="157">
        <f t="shared" si="123"/>
        <v>0</v>
      </c>
      <c r="AQ92" s="157">
        <f t="shared" si="123"/>
        <v>0</v>
      </c>
      <c r="AR92" s="157">
        <f t="shared" si="123"/>
        <v>0</v>
      </c>
      <c r="AS92" s="42">
        <f t="shared" si="74"/>
        <v>0</v>
      </c>
      <c r="AU92" t="s">
        <v>73</v>
      </c>
      <c r="AY92" s="20">
        <f>Taimekasvatus!E128</f>
        <v>0</v>
      </c>
      <c r="AZ92" s="20">
        <f>Taimekasvatus!F128</f>
        <v>0</v>
      </c>
      <c r="BA92" s="20">
        <f>Taimekasvatus!G128</f>
        <v>0</v>
      </c>
      <c r="BC92">
        <f>AZ92*BA92</f>
        <v>0</v>
      </c>
      <c r="BD92" s="21"/>
      <c r="BH92" s="6">
        <f>Loomakasvatus!C363</f>
        <v>0</v>
      </c>
      <c r="BI92" t="e">
        <f>Loomakasvatus!#REF!</f>
        <v>#REF!</v>
      </c>
      <c r="BJ92">
        <f>Loomakasvatus!D363</f>
        <v>0</v>
      </c>
      <c r="BK92">
        <f>IFERROR(VLOOKUP(BH92,'EFid TK'!$B$4:$C$36,2,FALSE),0)</f>
        <v>0</v>
      </c>
      <c r="BL92">
        <f t="shared" si="122"/>
        <v>0</v>
      </c>
      <c r="BM92" s="11"/>
      <c r="BP92" s="20">
        <f>Loomakasvatus!C67</f>
        <v>0</v>
      </c>
      <c r="BR92">
        <f>Loomakasvatus!D67</f>
        <v>0</v>
      </c>
      <c r="BS92">
        <f>IFERROR(VLOOKUP(BP92,'EFid TK'!$B$4:$C$36,2,FALSE),0)</f>
        <v>0</v>
      </c>
      <c r="BT92">
        <f t="shared" si="80"/>
        <v>0</v>
      </c>
      <c r="BU92" s="21"/>
      <c r="BW92" s="20">
        <f>Loomakasvatus!C533</f>
        <v>0</v>
      </c>
      <c r="BY92">
        <f>Loomakasvatus!D533</f>
        <v>0</v>
      </c>
      <c r="BZ92">
        <f>IFERROR(VLOOKUP(BW92,'EFid TK'!$B$4:$C$36,2,FALSE),0)</f>
        <v>0</v>
      </c>
      <c r="CA92">
        <f t="shared" si="79"/>
        <v>0</v>
      </c>
      <c r="CB92" s="21"/>
      <c r="DP92" t="str">
        <f>Tugitegevused!C110</f>
        <v>Vali</v>
      </c>
      <c r="DQ92">
        <f>Tugitegevused!D110</f>
        <v>0</v>
      </c>
      <c r="DR92">
        <f>Tugitegevused!E110</f>
        <v>0</v>
      </c>
      <c r="DS92" t="str">
        <f>IFERROR(VLOOKUP(DP92,EFid!$A$364:$B$411,2,FALSE),"0")</f>
        <v>0</v>
      </c>
      <c r="DT92">
        <f t="shared" si="86"/>
        <v>0</v>
      </c>
    </row>
    <row r="93" spans="1:124">
      <c r="B93" s="6" t="s">
        <v>699</v>
      </c>
      <c r="C93" t="s">
        <v>700</v>
      </c>
      <c r="E93" s="42">
        <f>E57</f>
        <v>0</v>
      </c>
      <c r="F93" s="42">
        <f t="shared" ref="F93:AR93" si="124">F57</f>
        <v>0</v>
      </c>
      <c r="G93" s="42">
        <f t="shared" si="124"/>
        <v>0</v>
      </c>
      <c r="H93" s="42">
        <f t="shared" si="124"/>
        <v>0</v>
      </c>
      <c r="I93" s="42">
        <f t="shared" si="124"/>
        <v>0</v>
      </c>
      <c r="J93" s="42">
        <f t="shared" si="124"/>
        <v>0</v>
      </c>
      <c r="K93" s="42">
        <f t="shared" si="124"/>
        <v>0</v>
      </c>
      <c r="L93" s="42">
        <f t="shared" si="124"/>
        <v>0</v>
      </c>
      <c r="M93" s="42">
        <f t="shared" si="124"/>
        <v>0</v>
      </c>
      <c r="N93" s="42">
        <f t="shared" si="124"/>
        <v>0</v>
      </c>
      <c r="O93" s="42">
        <f t="shared" si="124"/>
        <v>0</v>
      </c>
      <c r="P93" s="42">
        <f t="shared" si="124"/>
        <v>0</v>
      </c>
      <c r="Q93" s="42">
        <f t="shared" si="124"/>
        <v>0</v>
      </c>
      <c r="R93" s="42">
        <f t="shared" si="124"/>
        <v>0</v>
      </c>
      <c r="S93" s="42">
        <f t="shared" si="124"/>
        <v>0</v>
      </c>
      <c r="T93" s="42">
        <f t="shared" si="124"/>
        <v>0</v>
      </c>
      <c r="U93" s="42">
        <f t="shared" si="124"/>
        <v>0</v>
      </c>
      <c r="V93" s="42">
        <f t="shared" si="124"/>
        <v>0</v>
      </c>
      <c r="W93" s="42">
        <f t="shared" si="124"/>
        <v>0</v>
      </c>
      <c r="X93" s="42">
        <f t="shared" si="124"/>
        <v>0</v>
      </c>
      <c r="Y93" s="42">
        <f t="shared" si="124"/>
        <v>0</v>
      </c>
      <c r="Z93" s="42">
        <f t="shared" si="124"/>
        <v>0</v>
      </c>
      <c r="AA93" s="42">
        <f t="shared" si="124"/>
        <v>0</v>
      </c>
      <c r="AB93" s="42">
        <f t="shared" si="124"/>
        <v>0</v>
      </c>
      <c r="AC93" s="42">
        <f t="shared" si="124"/>
        <v>0</v>
      </c>
      <c r="AD93" s="42">
        <f t="shared" si="124"/>
        <v>0</v>
      </c>
      <c r="AE93" s="42">
        <f t="shared" si="124"/>
        <v>0</v>
      </c>
      <c r="AF93" s="42">
        <f t="shared" si="124"/>
        <v>0</v>
      </c>
      <c r="AG93" s="42">
        <f t="shared" si="124"/>
        <v>0</v>
      </c>
      <c r="AH93" s="42">
        <f t="shared" si="124"/>
        <v>0</v>
      </c>
      <c r="AI93" s="42">
        <f t="shared" si="124"/>
        <v>0</v>
      </c>
      <c r="AJ93" s="42">
        <f t="shared" si="124"/>
        <v>0</v>
      </c>
      <c r="AK93" s="42">
        <f t="shared" si="124"/>
        <v>0</v>
      </c>
      <c r="AL93" s="42">
        <f t="shared" si="124"/>
        <v>0</v>
      </c>
      <c r="AM93" s="42">
        <f t="shared" si="124"/>
        <v>0</v>
      </c>
      <c r="AN93" s="42">
        <f t="shared" si="124"/>
        <v>0</v>
      </c>
      <c r="AO93" s="42">
        <f t="shared" si="124"/>
        <v>0</v>
      </c>
      <c r="AP93" s="42">
        <f t="shared" si="124"/>
        <v>0</v>
      </c>
      <c r="AQ93" s="42">
        <f t="shared" si="124"/>
        <v>0</v>
      </c>
      <c r="AR93" s="42">
        <f t="shared" si="124"/>
        <v>0</v>
      </c>
      <c r="AS93" s="42">
        <f t="shared" si="74"/>
        <v>0</v>
      </c>
      <c r="AU93" t="s">
        <v>73</v>
      </c>
      <c r="AY93" s="20">
        <f>Taimekasvatus!E129</f>
        <v>0</v>
      </c>
      <c r="AZ93" s="20">
        <f>Taimekasvatus!F129</f>
        <v>0</v>
      </c>
      <c r="BA93" s="20">
        <f>Taimekasvatus!G129</f>
        <v>0</v>
      </c>
      <c r="BC93">
        <f t="shared" ref="BC93:BC94" si="125">AZ93*BA93</f>
        <v>0</v>
      </c>
      <c r="BD93" s="21"/>
      <c r="BH93" s="6">
        <f>Loomakasvatus!C364</f>
        <v>0</v>
      </c>
      <c r="BI93" t="e">
        <f>Loomakasvatus!#REF!</f>
        <v>#REF!</v>
      </c>
      <c r="BJ93">
        <f>Loomakasvatus!D364</f>
        <v>0</v>
      </c>
      <c r="BK93">
        <f>IFERROR(VLOOKUP(BH93,'EFid TK'!$B$4:$C$36,2,FALSE),0)</f>
        <v>0</v>
      </c>
      <c r="BL93">
        <f t="shared" si="122"/>
        <v>0</v>
      </c>
      <c r="BM93" s="11"/>
      <c r="BP93" s="20">
        <f>Loomakasvatus!C68</f>
        <v>0</v>
      </c>
      <c r="BR93">
        <f>Loomakasvatus!D68</f>
        <v>0</v>
      </c>
      <c r="BS93">
        <f>IFERROR(VLOOKUP(BP93,'EFid TK'!$B$4:$C$36,2,FALSE),0)</f>
        <v>0</v>
      </c>
      <c r="BT93">
        <f t="shared" si="80"/>
        <v>0</v>
      </c>
      <c r="BU93" s="21"/>
      <c r="BW93" s="20">
        <f>Loomakasvatus!C534</f>
        <v>0</v>
      </c>
      <c r="BY93">
        <f>Loomakasvatus!D534</f>
        <v>0</v>
      </c>
      <c r="BZ93">
        <f>IFERROR(VLOOKUP(BW93,'EFid TK'!$B$4:$C$36,2,FALSE),0)</f>
        <v>0</v>
      </c>
      <c r="CA93">
        <f t="shared" si="79"/>
        <v>0</v>
      </c>
      <c r="CB93" s="21"/>
      <c r="DP93" t="str">
        <f>Tugitegevused!C111</f>
        <v>Vali</v>
      </c>
      <c r="DQ93">
        <f>Tugitegevused!D111</f>
        <v>0</v>
      </c>
      <c r="DR93">
        <f>Tugitegevused!E111</f>
        <v>0</v>
      </c>
      <c r="DS93" t="str">
        <f>IFERROR(VLOOKUP(DP93,EFid!$A$364:$B$411,2,FALSE),"0")</f>
        <v>0</v>
      </c>
      <c r="DT93">
        <f t="shared" si="86"/>
        <v>0</v>
      </c>
    </row>
    <row r="94" spans="1:124" ht="15" thickBot="1">
      <c r="B94" s="6" t="s">
        <v>715</v>
      </c>
      <c r="C94" t="s">
        <v>716</v>
      </c>
      <c r="E94" s="42">
        <f>E16+E26+E35</f>
        <v>0</v>
      </c>
      <c r="F94" s="42">
        <f t="shared" ref="F94:AR94" si="126">F16+F26+F35</f>
        <v>0</v>
      </c>
      <c r="G94" s="42">
        <f t="shared" si="126"/>
        <v>0</v>
      </c>
      <c r="H94" s="42">
        <f t="shared" si="126"/>
        <v>0</v>
      </c>
      <c r="I94" s="42">
        <f t="shared" si="126"/>
        <v>0</v>
      </c>
      <c r="J94" s="42">
        <f t="shared" si="126"/>
        <v>0</v>
      </c>
      <c r="K94" s="42">
        <f t="shared" si="126"/>
        <v>0</v>
      </c>
      <c r="L94" s="42">
        <f t="shared" si="126"/>
        <v>0</v>
      </c>
      <c r="M94" s="42">
        <f t="shared" si="126"/>
        <v>0</v>
      </c>
      <c r="N94" s="42">
        <f t="shared" si="126"/>
        <v>0</v>
      </c>
      <c r="O94" s="42">
        <f t="shared" si="126"/>
        <v>0</v>
      </c>
      <c r="P94" s="42">
        <f t="shared" si="126"/>
        <v>0</v>
      </c>
      <c r="Q94" s="42">
        <f t="shared" si="126"/>
        <v>0</v>
      </c>
      <c r="R94" s="42">
        <f t="shared" si="126"/>
        <v>0</v>
      </c>
      <c r="S94" s="42">
        <f t="shared" si="126"/>
        <v>0</v>
      </c>
      <c r="T94" s="42">
        <f t="shared" si="126"/>
        <v>0</v>
      </c>
      <c r="U94" s="42">
        <f t="shared" si="126"/>
        <v>0</v>
      </c>
      <c r="V94" s="42">
        <f t="shared" si="126"/>
        <v>0</v>
      </c>
      <c r="W94" s="42">
        <f t="shared" si="126"/>
        <v>0</v>
      </c>
      <c r="X94" s="42">
        <f t="shared" si="126"/>
        <v>0</v>
      </c>
      <c r="Y94" s="42">
        <f t="shared" si="126"/>
        <v>0</v>
      </c>
      <c r="Z94" s="42">
        <f t="shared" si="126"/>
        <v>0</v>
      </c>
      <c r="AA94" s="42">
        <f t="shared" si="126"/>
        <v>0</v>
      </c>
      <c r="AB94" s="42">
        <f t="shared" si="126"/>
        <v>0</v>
      </c>
      <c r="AC94" s="42">
        <f t="shared" si="126"/>
        <v>0</v>
      </c>
      <c r="AD94" s="42">
        <f t="shared" si="126"/>
        <v>0</v>
      </c>
      <c r="AE94" s="42">
        <f t="shared" si="126"/>
        <v>0</v>
      </c>
      <c r="AF94" s="42">
        <f t="shared" si="126"/>
        <v>0</v>
      </c>
      <c r="AG94" s="42">
        <f t="shared" si="126"/>
        <v>0</v>
      </c>
      <c r="AH94" s="42">
        <f t="shared" si="126"/>
        <v>0</v>
      </c>
      <c r="AI94" s="42">
        <f t="shared" si="126"/>
        <v>0</v>
      </c>
      <c r="AJ94" s="42">
        <f t="shared" si="126"/>
        <v>0</v>
      </c>
      <c r="AK94" s="42">
        <f t="shared" si="126"/>
        <v>0</v>
      </c>
      <c r="AL94" s="42">
        <f t="shared" si="126"/>
        <v>0</v>
      </c>
      <c r="AM94" s="42">
        <f t="shared" si="126"/>
        <v>0</v>
      </c>
      <c r="AN94" s="42">
        <f t="shared" si="126"/>
        <v>0</v>
      </c>
      <c r="AO94" s="42">
        <f t="shared" si="126"/>
        <v>0</v>
      </c>
      <c r="AP94" s="42">
        <f t="shared" si="126"/>
        <v>0</v>
      </c>
      <c r="AQ94" s="42">
        <f t="shared" si="126"/>
        <v>0</v>
      </c>
      <c r="AR94" s="42">
        <f t="shared" si="126"/>
        <v>0</v>
      </c>
      <c r="AS94" s="42">
        <f t="shared" si="74"/>
        <v>0</v>
      </c>
      <c r="AY94" s="20">
        <f>Taimekasvatus!E130</f>
        <v>0</v>
      </c>
      <c r="AZ94" s="20">
        <f>Taimekasvatus!F130</f>
        <v>0</v>
      </c>
      <c r="BA94" s="20">
        <f>Taimekasvatus!G130</f>
        <v>0</v>
      </c>
      <c r="BC94">
        <f t="shared" si="125"/>
        <v>0</v>
      </c>
      <c r="BD94" s="21"/>
      <c r="BH94" s="7">
        <f>Loomakasvatus!C365</f>
        <v>0</v>
      </c>
      <c r="BI94" s="8" t="e">
        <f>Loomakasvatus!#REF!</f>
        <v>#REF!</v>
      </c>
      <c r="BJ94" s="8">
        <f>Loomakasvatus!D365</f>
        <v>0</v>
      </c>
      <c r="BK94" s="8">
        <f>IFERROR(VLOOKUP(BH94,'EFid TK'!$B$4:$C$36,2,FALSE),0)</f>
        <v>0</v>
      </c>
      <c r="BL94" s="8">
        <f t="shared" si="122"/>
        <v>0</v>
      </c>
      <c r="BM94" s="41"/>
      <c r="BP94" s="20">
        <f>Loomakasvatus!C69</f>
        <v>0</v>
      </c>
      <c r="BR94">
        <f>Loomakasvatus!D69</f>
        <v>0</v>
      </c>
      <c r="BS94">
        <f>IFERROR(VLOOKUP(BP94,'EFid TK'!$B$4:$C$36,2,FALSE),0)</f>
        <v>0</v>
      </c>
      <c r="BT94">
        <f t="shared" si="80"/>
        <v>0</v>
      </c>
      <c r="BU94" s="21"/>
      <c r="BW94" s="20">
        <f>Loomakasvatus!C535</f>
        <v>0</v>
      </c>
      <c r="BY94">
        <f>Loomakasvatus!D535</f>
        <v>0</v>
      </c>
      <c r="BZ94">
        <f>IFERROR(VLOOKUP(BW94,'EFid TK'!$B$4:$C$36,2,FALSE),0)</f>
        <v>0</v>
      </c>
      <c r="CA94">
        <f t="shared" si="79"/>
        <v>0</v>
      </c>
      <c r="CB94" s="21"/>
      <c r="DP94" t="str">
        <f>Tugitegevused!C112</f>
        <v>Vali</v>
      </c>
      <c r="DQ94">
        <f>Tugitegevused!D112</f>
        <v>0</v>
      </c>
      <c r="DR94">
        <f>Tugitegevused!E112</f>
        <v>0</v>
      </c>
      <c r="DS94" t="str">
        <f>IFERROR(VLOOKUP(DP94,EFid!$A$364:$B$411,2,FALSE),"0")</f>
        <v>0</v>
      </c>
      <c r="DT94">
        <f t="shared" si="86"/>
        <v>0</v>
      </c>
    </row>
    <row r="95" spans="1:124">
      <c r="B95" s="6" t="s">
        <v>717</v>
      </c>
      <c r="C95" t="s">
        <v>718</v>
      </c>
      <c r="E95" s="42">
        <f>'M1 - TK'!$B$27</f>
        <v>0.3</v>
      </c>
      <c r="F95" s="42">
        <f>'M1 - TK'!$B$27</f>
        <v>0.3</v>
      </c>
      <c r="G95" s="42">
        <f>'M1 - TK'!$B$27</f>
        <v>0.3</v>
      </c>
      <c r="H95" s="42">
        <f>'M1 - TK'!$B$27</f>
        <v>0.3</v>
      </c>
      <c r="I95" s="42">
        <f>'M1 - TK'!$B$27</f>
        <v>0.3</v>
      </c>
      <c r="J95" s="42">
        <f>'M1 - TK'!$B$27</f>
        <v>0.3</v>
      </c>
      <c r="K95" s="42">
        <f>'M1 - TK'!$B$27</f>
        <v>0.3</v>
      </c>
      <c r="L95" s="42">
        <f>'M1 - TK'!$B$27</f>
        <v>0.3</v>
      </c>
      <c r="M95" s="42">
        <f>'M1 - TK'!$B$27</f>
        <v>0.3</v>
      </c>
      <c r="N95" s="42">
        <f>'M1 - TK'!$B$27</f>
        <v>0.3</v>
      </c>
      <c r="O95" s="42">
        <f>'M1 - TK'!$B$27</f>
        <v>0.3</v>
      </c>
      <c r="P95" s="42">
        <f>'M1 - TK'!$B$27</f>
        <v>0.3</v>
      </c>
      <c r="Q95" s="42">
        <f>'M1 - TK'!$B$27</f>
        <v>0.3</v>
      </c>
      <c r="R95" s="42">
        <f>'M1 - TK'!$B$27</f>
        <v>0.3</v>
      </c>
      <c r="S95" s="42">
        <f>'M1 - TK'!$B$27</f>
        <v>0.3</v>
      </c>
      <c r="T95" s="42">
        <f>'M1 - TK'!$B$27</f>
        <v>0.3</v>
      </c>
      <c r="U95" s="42">
        <f>'M1 - TK'!$B$27</f>
        <v>0.3</v>
      </c>
      <c r="V95" s="42">
        <f>'M1 - TK'!$B$27</f>
        <v>0.3</v>
      </c>
      <c r="W95" s="42">
        <f>'M1 - TK'!$B$27</f>
        <v>0.3</v>
      </c>
      <c r="X95" s="42">
        <f>'M1 - TK'!$B$27</f>
        <v>0.3</v>
      </c>
      <c r="Y95" s="42">
        <f>'M1 - TK'!$B$27</f>
        <v>0.3</v>
      </c>
      <c r="Z95" s="42">
        <f>'M1 - TK'!$B$27</f>
        <v>0.3</v>
      </c>
      <c r="AA95" s="42">
        <f>'M1 - TK'!$B$27</f>
        <v>0.3</v>
      </c>
      <c r="AB95" s="42">
        <f>'M1 - TK'!$B$27</f>
        <v>0.3</v>
      </c>
      <c r="AC95" s="42">
        <f>'M1 - TK'!$B$27</f>
        <v>0.3</v>
      </c>
      <c r="AD95" s="42">
        <f>'M1 - TK'!$B$27</f>
        <v>0.3</v>
      </c>
      <c r="AE95" s="42">
        <f>'M1 - TK'!$B$27</f>
        <v>0.3</v>
      </c>
      <c r="AF95" s="42">
        <f>'M1 - TK'!$B$27</f>
        <v>0.3</v>
      </c>
      <c r="AG95" s="42">
        <f>'M1 - TK'!$B$27</f>
        <v>0.3</v>
      </c>
      <c r="AH95" s="42">
        <f>'M1 - TK'!$B$27</f>
        <v>0.3</v>
      </c>
      <c r="AI95" s="42">
        <f>'M1 - TK'!$B$27</f>
        <v>0.3</v>
      </c>
      <c r="AJ95" s="42">
        <f>'M1 - TK'!$B$27</f>
        <v>0.3</v>
      </c>
      <c r="AK95" s="42">
        <f>'M1 - TK'!$B$27</f>
        <v>0.3</v>
      </c>
      <c r="AL95" s="42">
        <f>'M1 - TK'!$B$27</f>
        <v>0.3</v>
      </c>
      <c r="AM95" s="42">
        <f>'M1 - TK'!$B$27</f>
        <v>0.3</v>
      </c>
      <c r="AN95" s="42">
        <f>'M1 - TK'!$B$27</f>
        <v>0.3</v>
      </c>
      <c r="AO95" s="42">
        <f>'M1 - TK'!$B$27</f>
        <v>0.3</v>
      </c>
      <c r="AP95" s="42">
        <f>'M1 - TK'!$B$27</f>
        <v>0.3</v>
      </c>
      <c r="AQ95" s="42">
        <f>'M1 - TK'!$B$27</f>
        <v>0.3</v>
      </c>
      <c r="AR95" s="42">
        <f>'M1 - TK'!$B$27</f>
        <v>0.3</v>
      </c>
      <c r="AS95" s="42">
        <f t="shared" si="74"/>
        <v>12.000000000000007</v>
      </c>
      <c r="AU95" t="s">
        <v>719</v>
      </c>
      <c r="AY95" s="15" t="str">
        <f>Taimekasvatus!E131</f>
        <v>Puhtimisvahendi nimi</v>
      </c>
      <c r="AZ95" s="16" t="str">
        <f>Taimekasvatus!F131</f>
        <v>Ühik</v>
      </c>
      <c r="BA95" s="16" t="str">
        <f>Taimekasvatus!G131</f>
        <v>Väärtus</v>
      </c>
      <c r="BB95" s="16"/>
      <c r="BC95" s="16"/>
      <c r="BD95" s="17" t="s">
        <v>720</v>
      </c>
      <c r="BO95" s="1"/>
      <c r="BP95" s="20">
        <f>Loomakasvatus!C70</f>
        <v>0</v>
      </c>
      <c r="BR95">
        <f>Loomakasvatus!D70</f>
        <v>0</v>
      </c>
      <c r="BS95">
        <f>IFERROR(VLOOKUP(BP95,'EFid TK'!$B$4:$C$36,2,FALSE),0)</f>
        <v>0</v>
      </c>
      <c r="BT95">
        <f t="shared" si="80"/>
        <v>0</v>
      </c>
      <c r="BU95" s="21"/>
      <c r="BW95" s="20">
        <f>Loomakasvatus!C536</f>
        <v>0</v>
      </c>
      <c r="BY95">
        <f>Loomakasvatus!D536</f>
        <v>0</v>
      </c>
      <c r="BZ95">
        <f>IFERROR(VLOOKUP(BW95,'EFid TK'!$B$4:$C$36,2,FALSE),0)</f>
        <v>0</v>
      </c>
      <c r="CA95">
        <f t="shared" si="79"/>
        <v>0</v>
      </c>
      <c r="CB95" s="21"/>
      <c r="DP95" t="str">
        <f>Tugitegevused!C113</f>
        <v>Vali</v>
      </c>
      <c r="DQ95">
        <f>Tugitegevused!D113</f>
        <v>0</v>
      </c>
      <c r="DR95">
        <f>Tugitegevused!E113</f>
        <v>0</v>
      </c>
      <c r="DS95" t="str">
        <f>IFERROR(VLOOKUP(DP95,EFid!$A$364:$B$411,2,FALSE),"0")</f>
        <v>0</v>
      </c>
      <c r="DT95">
        <f t="shared" si="86"/>
        <v>0</v>
      </c>
    </row>
    <row r="96" spans="1:124">
      <c r="B96" s="6" t="s">
        <v>721</v>
      </c>
      <c r="C96" t="s">
        <v>722</v>
      </c>
      <c r="E96" s="42">
        <f>'M1 - TK'!$B$21</f>
        <v>7.4999999999999997E-3</v>
      </c>
      <c r="F96" s="42">
        <f>'M1 - TK'!$B$21</f>
        <v>7.4999999999999997E-3</v>
      </c>
      <c r="G96" s="42">
        <f>'M1 - TK'!$B$21</f>
        <v>7.4999999999999997E-3</v>
      </c>
      <c r="H96" s="42">
        <f>'M1 - TK'!$B$21</f>
        <v>7.4999999999999997E-3</v>
      </c>
      <c r="I96" s="42">
        <f>'M1 - TK'!$B$21</f>
        <v>7.4999999999999997E-3</v>
      </c>
      <c r="J96" s="42">
        <f>'M1 - TK'!$B$21</f>
        <v>7.4999999999999997E-3</v>
      </c>
      <c r="K96" s="42">
        <f>'M1 - TK'!$B$21</f>
        <v>7.4999999999999997E-3</v>
      </c>
      <c r="L96" s="42">
        <f>'M1 - TK'!$B$21</f>
        <v>7.4999999999999997E-3</v>
      </c>
      <c r="M96" s="42">
        <f>'M1 - TK'!$B$21</f>
        <v>7.4999999999999997E-3</v>
      </c>
      <c r="N96" s="42">
        <f>'M1 - TK'!$B$21</f>
        <v>7.4999999999999997E-3</v>
      </c>
      <c r="O96" s="42">
        <f>'M1 - TK'!$B$21</f>
        <v>7.4999999999999997E-3</v>
      </c>
      <c r="P96" s="42">
        <f>'M1 - TK'!$B$21</f>
        <v>7.4999999999999997E-3</v>
      </c>
      <c r="Q96" s="42">
        <f>'M1 - TK'!$B$21</f>
        <v>7.4999999999999997E-3</v>
      </c>
      <c r="R96" s="42">
        <f>'M1 - TK'!$B$21</f>
        <v>7.4999999999999997E-3</v>
      </c>
      <c r="S96" s="42">
        <f>'M1 - TK'!$B$21</f>
        <v>7.4999999999999997E-3</v>
      </c>
      <c r="T96" s="42">
        <f>'M1 - TK'!$B$21</f>
        <v>7.4999999999999997E-3</v>
      </c>
      <c r="U96" s="42">
        <f>'M1 - TK'!$B$21</f>
        <v>7.4999999999999997E-3</v>
      </c>
      <c r="V96" s="42">
        <f>'M1 - TK'!$B$21</f>
        <v>7.4999999999999997E-3</v>
      </c>
      <c r="W96" s="42">
        <f>'M1 - TK'!$B$21</f>
        <v>7.4999999999999997E-3</v>
      </c>
      <c r="X96" s="42">
        <f>'M1 - TK'!$B$21</f>
        <v>7.4999999999999997E-3</v>
      </c>
      <c r="Y96" s="42">
        <f>'M1 - TK'!$B$21</f>
        <v>7.4999999999999997E-3</v>
      </c>
      <c r="Z96" s="42">
        <f>'M1 - TK'!$B$21</f>
        <v>7.4999999999999997E-3</v>
      </c>
      <c r="AA96" s="42">
        <f>'M1 - TK'!$B$21</f>
        <v>7.4999999999999997E-3</v>
      </c>
      <c r="AB96" s="42">
        <f>'M1 - TK'!$B$21</f>
        <v>7.4999999999999997E-3</v>
      </c>
      <c r="AC96" s="42">
        <f>'M1 - TK'!$B$21</f>
        <v>7.4999999999999997E-3</v>
      </c>
      <c r="AD96" s="42">
        <f>'M1 - TK'!$B$21</f>
        <v>7.4999999999999997E-3</v>
      </c>
      <c r="AE96" s="42">
        <f>'M1 - TK'!$B$21</f>
        <v>7.4999999999999997E-3</v>
      </c>
      <c r="AF96" s="42">
        <f>'M1 - TK'!$B$21</f>
        <v>7.4999999999999997E-3</v>
      </c>
      <c r="AG96" s="42">
        <f>'M1 - TK'!$B$21</f>
        <v>7.4999999999999997E-3</v>
      </c>
      <c r="AH96" s="42">
        <f>'M1 - TK'!$B$21</f>
        <v>7.4999999999999997E-3</v>
      </c>
      <c r="AI96" s="42">
        <f>'M1 - TK'!$B$21</f>
        <v>7.4999999999999997E-3</v>
      </c>
      <c r="AJ96" s="42">
        <f>'M1 - TK'!$B$21</f>
        <v>7.4999999999999997E-3</v>
      </c>
      <c r="AK96" s="42">
        <f>'M1 - TK'!$B$21</f>
        <v>7.4999999999999997E-3</v>
      </c>
      <c r="AL96" s="42">
        <f>'M1 - TK'!$B$21</f>
        <v>7.4999999999999997E-3</v>
      </c>
      <c r="AM96" s="42">
        <f>'M1 - TK'!$B$21</f>
        <v>7.4999999999999997E-3</v>
      </c>
      <c r="AN96" s="42">
        <f>'M1 - TK'!$B$21</f>
        <v>7.4999999999999997E-3</v>
      </c>
      <c r="AO96" s="42">
        <f>'M1 - TK'!$B$21</f>
        <v>7.4999999999999997E-3</v>
      </c>
      <c r="AP96" s="42">
        <f>'M1 - TK'!$B$21</f>
        <v>7.4999999999999997E-3</v>
      </c>
      <c r="AQ96" s="42">
        <f>'M1 - TK'!$B$21</f>
        <v>7.4999999999999997E-3</v>
      </c>
      <c r="AR96" s="42">
        <f>'M1 - TK'!$B$21</f>
        <v>7.4999999999999997E-3</v>
      </c>
      <c r="AS96" s="42">
        <f t="shared" si="74"/>
        <v>0.30000000000000021</v>
      </c>
      <c r="AU96" t="s">
        <v>723</v>
      </c>
      <c r="AY96" s="20">
        <f>Taimekasvatus!E132</f>
        <v>0</v>
      </c>
      <c r="AZ96" t="str">
        <f>Taimekasvatus!F132</f>
        <v>l/kg toodet</v>
      </c>
      <c r="BA96">
        <f>Taimekasvatus!G132</f>
        <v>0</v>
      </c>
      <c r="BB96">
        <f>IFERROR(VLOOKUP(AY96,'EFid TK'!$J$108:$L$114,3,FALSE),0)</f>
        <v>0</v>
      </c>
      <c r="BC96">
        <f>BA96*BB96</f>
        <v>0</v>
      </c>
      <c r="BD96" s="445">
        <f>SUM(BC96:BC102)</f>
        <v>0</v>
      </c>
      <c r="BH96" s="163" t="s">
        <v>168</v>
      </c>
      <c r="BI96" s="3"/>
      <c r="BJ96" s="3" t="s">
        <v>724</v>
      </c>
      <c r="BK96" s="3" t="s">
        <v>19</v>
      </c>
      <c r="BL96" s="9" t="s">
        <v>725</v>
      </c>
      <c r="BP96" s="20">
        <f>Loomakasvatus!C71</f>
        <v>0</v>
      </c>
      <c r="BR96">
        <f>Loomakasvatus!D71</f>
        <v>0</v>
      </c>
      <c r="BS96">
        <f>IFERROR(VLOOKUP(BP96,'EFid TK'!$B$4:$C$36,2,FALSE),0)</f>
        <v>0</v>
      </c>
      <c r="BT96">
        <f t="shared" si="80"/>
        <v>0</v>
      </c>
      <c r="BU96" s="21"/>
      <c r="BW96" s="20">
        <f>Loomakasvatus!C537</f>
        <v>0</v>
      </c>
      <c r="BY96">
        <f>Loomakasvatus!D537</f>
        <v>0</v>
      </c>
      <c r="BZ96">
        <f>IFERROR(VLOOKUP(BW96,'EFid TK'!$B$4:$C$36,2,FALSE),0)</f>
        <v>0</v>
      </c>
      <c r="CA96">
        <f t="shared" si="79"/>
        <v>0</v>
      </c>
      <c r="CB96" s="21"/>
      <c r="DP96" t="str">
        <f>Tugitegevused!C114</f>
        <v>Vali</v>
      </c>
      <c r="DQ96">
        <f>Tugitegevused!D114</f>
        <v>0</v>
      </c>
      <c r="DR96">
        <f>Tugitegevused!E114</f>
        <v>0</v>
      </c>
      <c r="DS96" t="str">
        <f>IFERROR(VLOOKUP(DP96,EFid!$A$364:$B$411,2,FALSE),"0")</f>
        <v>0</v>
      </c>
      <c r="DT96">
        <f t="shared" si="86"/>
        <v>0</v>
      </c>
    </row>
    <row r="97" spans="1:124">
      <c r="A97" t="s">
        <v>726</v>
      </c>
      <c r="B97" s="176" t="s">
        <v>727</v>
      </c>
      <c r="C97" s="177"/>
      <c r="D97" s="177"/>
      <c r="E97" s="42">
        <f>E90*(44/28)</f>
        <v>0</v>
      </c>
      <c r="F97" s="42">
        <f t="shared" ref="F97:V97" si="127">F90*(44/28)</f>
        <v>0</v>
      </c>
      <c r="G97" s="42">
        <f t="shared" si="127"/>
        <v>0</v>
      </c>
      <c r="H97" s="42">
        <f t="shared" si="127"/>
        <v>0</v>
      </c>
      <c r="I97" s="42">
        <f t="shared" si="127"/>
        <v>0</v>
      </c>
      <c r="J97" s="42">
        <f t="shared" si="127"/>
        <v>0</v>
      </c>
      <c r="K97" s="42">
        <f t="shared" si="127"/>
        <v>0</v>
      </c>
      <c r="L97" s="42">
        <f t="shared" si="127"/>
        <v>0</v>
      </c>
      <c r="M97" s="42">
        <f t="shared" si="127"/>
        <v>0</v>
      </c>
      <c r="N97" s="42">
        <f t="shared" si="127"/>
        <v>0</v>
      </c>
      <c r="O97" s="42">
        <f t="shared" si="127"/>
        <v>0</v>
      </c>
      <c r="P97" s="42">
        <f t="shared" si="127"/>
        <v>0</v>
      </c>
      <c r="Q97" s="42">
        <f t="shared" si="127"/>
        <v>0</v>
      </c>
      <c r="R97" s="42">
        <f t="shared" si="127"/>
        <v>0</v>
      </c>
      <c r="S97" s="42">
        <f t="shared" si="127"/>
        <v>0</v>
      </c>
      <c r="T97" s="42">
        <f t="shared" si="127"/>
        <v>0</v>
      </c>
      <c r="U97" s="42">
        <f t="shared" si="127"/>
        <v>0</v>
      </c>
      <c r="V97" s="42">
        <f t="shared" si="127"/>
        <v>0</v>
      </c>
      <c r="W97" s="42">
        <f t="shared" ref="W97:X97" si="128">W90*(44/28)</f>
        <v>0</v>
      </c>
      <c r="X97" s="42">
        <f t="shared" si="128"/>
        <v>0</v>
      </c>
      <c r="Y97" s="42">
        <f t="shared" ref="Y97:AK97" si="129">Y90*(44/28)</f>
        <v>0</v>
      </c>
      <c r="Z97" s="42">
        <f t="shared" si="129"/>
        <v>0</v>
      </c>
      <c r="AA97" s="42">
        <f t="shared" si="129"/>
        <v>0</v>
      </c>
      <c r="AB97" s="42">
        <f t="shared" si="129"/>
        <v>0</v>
      </c>
      <c r="AC97" s="42">
        <f t="shared" si="129"/>
        <v>0</v>
      </c>
      <c r="AD97" s="42">
        <f t="shared" si="129"/>
        <v>0</v>
      </c>
      <c r="AE97" s="42">
        <f t="shared" si="129"/>
        <v>0</v>
      </c>
      <c r="AF97" s="42">
        <f t="shared" si="129"/>
        <v>0</v>
      </c>
      <c r="AG97" s="42">
        <f t="shared" si="129"/>
        <v>0</v>
      </c>
      <c r="AH97" s="42">
        <f t="shared" si="129"/>
        <v>0</v>
      </c>
      <c r="AI97" s="42">
        <f t="shared" si="129"/>
        <v>0</v>
      </c>
      <c r="AJ97" s="42">
        <f t="shared" si="129"/>
        <v>0</v>
      </c>
      <c r="AK97" s="42">
        <f t="shared" si="129"/>
        <v>0</v>
      </c>
      <c r="AL97" s="42">
        <f t="shared" ref="AL97:AO97" si="130">AL90*(44/28)</f>
        <v>0</v>
      </c>
      <c r="AM97" s="42">
        <f t="shared" si="130"/>
        <v>0</v>
      </c>
      <c r="AN97" s="42">
        <f t="shared" si="130"/>
        <v>0</v>
      </c>
      <c r="AO97" s="42">
        <f t="shared" si="130"/>
        <v>0</v>
      </c>
      <c r="AP97" s="42">
        <f t="shared" ref="AP97:AR97" si="131">AP90*(44/28)</f>
        <v>0</v>
      </c>
      <c r="AQ97" s="42">
        <f t="shared" si="131"/>
        <v>0</v>
      </c>
      <c r="AR97" s="42">
        <f t="shared" si="131"/>
        <v>0</v>
      </c>
      <c r="AS97" s="42">
        <f t="shared" si="74"/>
        <v>0</v>
      </c>
      <c r="AT97" t="s">
        <v>726</v>
      </c>
      <c r="AU97" t="s">
        <v>135</v>
      </c>
      <c r="AY97" s="20">
        <f>Taimekasvatus!E133</f>
        <v>0</v>
      </c>
      <c r="AZ97" t="str">
        <f>Taimekasvatus!F133</f>
        <v>l/kg toodet</v>
      </c>
      <c r="BA97">
        <f>Taimekasvatus!G133</f>
        <v>0</v>
      </c>
      <c r="BB97">
        <f>IFERROR(VLOOKUP(AY97,'EFid TK'!$J$108:$L$114,3,FALSE),0)</f>
        <v>0</v>
      </c>
      <c r="BC97">
        <f t="shared" ref="BC97:BC102" si="132">BA97*BB97</f>
        <v>0</v>
      </c>
      <c r="BD97" s="21"/>
      <c r="BH97" s="6" cm="1">
        <f t="array" ref="BH97:BH106">Loomakasvatus!C275:C284</f>
        <v>0</v>
      </c>
      <c r="BI97" cm="1">
        <f t="array" ref="BI97:BI106">Loomakasvatus!D275:D284</f>
        <v>0</v>
      </c>
      <c r="BJ97">
        <f>IFERROR(VLOOKUP(BH97,EFid!$A$415:$D$428,2,FALSE),0)</f>
        <v>0</v>
      </c>
      <c r="BL97" s="11">
        <f>BJ97*BI97</f>
        <v>0</v>
      </c>
      <c r="BM97" s="444">
        <f>SUM(BL97:BL106)</f>
        <v>0</v>
      </c>
      <c r="BP97" s="20">
        <f>Loomakasvatus!C72</f>
        <v>0</v>
      </c>
      <c r="BR97">
        <f>Loomakasvatus!D72</f>
        <v>0</v>
      </c>
      <c r="BS97">
        <f>IFERROR(VLOOKUP(BP97,'EFid TK'!$B$4:$C$36,2,FALSE),0)</f>
        <v>0</v>
      </c>
      <c r="BT97">
        <f t="shared" si="80"/>
        <v>0</v>
      </c>
      <c r="BU97" s="21"/>
      <c r="BW97" s="20">
        <f>Loomakasvatus!C538</f>
        <v>0</v>
      </c>
      <c r="BY97">
        <f>Loomakasvatus!D538</f>
        <v>0</v>
      </c>
      <c r="BZ97">
        <f>IFERROR(VLOOKUP(BW97,'EFid TK'!$B$4:$C$36,2,FALSE),0)</f>
        <v>0</v>
      </c>
      <c r="CA97">
        <f t="shared" si="79"/>
        <v>0</v>
      </c>
      <c r="CB97" s="21"/>
      <c r="DP97" t="str">
        <f>Tugitegevused!C115</f>
        <v>Vali</v>
      </c>
      <c r="DQ97">
        <f>Tugitegevused!D115</f>
        <v>0</v>
      </c>
      <c r="DR97">
        <f>Tugitegevused!E115</f>
        <v>0</v>
      </c>
      <c r="DS97" t="str">
        <f>IFERROR(VLOOKUP(DP97,EFid!$A$364:$B$411,2,FALSE),"0")</f>
        <v>0</v>
      </c>
      <c r="DT97">
        <f t="shared" si="86"/>
        <v>0</v>
      </c>
    </row>
    <row r="98" spans="1:124">
      <c r="AY98" s="20">
        <f>Taimekasvatus!E134</f>
        <v>0</v>
      </c>
      <c r="AZ98" t="str">
        <f>Taimekasvatus!F134</f>
        <v>l/kg toodet</v>
      </c>
      <c r="BA98">
        <f>Taimekasvatus!G134</f>
        <v>0</v>
      </c>
      <c r="BB98">
        <f>IFERROR(VLOOKUP(AY98,'EFid TK'!$J$108:$L$114,3,FALSE),0)</f>
        <v>0</v>
      </c>
      <c r="BC98">
        <f t="shared" si="132"/>
        <v>0</v>
      </c>
      <c r="BD98" s="21"/>
      <c r="BG98" t="s">
        <v>178</v>
      </c>
      <c r="BH98" s="6">
        <v>0</v>
      </c>
      <c r="BI98">
        <v>0</v>
      </c>
      <c r="BJ98">
        <f>IFERROR(VLOOKUP(BH98,EFid!$A$415:$D$428,2,FALSE),0)</f>
        <v>0</v>
      </c>
      <c r="BL98" s="11">
        <f t="shared" ref="BL98:BL161" si="133">BJ98*BI98</f>
        <v>0</v>
      </c>
      <c r="BP98" s="20">
        <f>Loomakasvatus!C73</f>
        <v>0</v>
      </c>
      <c r="BR98">
        <f>Loomakasvatus!D73</f>
        <v>0</v>
      </c>
      <c r="BS98">
        <f>IFERROR(VLOOKUP(BP98,'EFid TK'!$B$4:$C$36,2,FALSE),0)</f>
        <v>0</v>
      </c>
      <c r="BT98">
        <f t="shared" si="80"/>
        <v>0</v>
      </c>
      <c r="BU98" s="21"/>
      <c r="BW98" s="20">
        <f>Loomakasvatus!C539</f>
        <v>0</v>
      </c>
      <c r="BY98">
        <f>Loomakasvatus!D539</f>
        <v>0</v>
      </c>
      <c r="BZ98">
        <f>IFERROR(VLOOKUP(BW98,'EFid TK'!$B$4:$C$36,2,FALSE),0)</f>
        <v>0</v>
      </c>
      <c r="CA98">
        <f t="shared" ref="CA98:CA101" si="134">BZ98*BY98</f>
        <v>0</v>
      </c>
      <c r="CB98" s="21"/>
      <c r="DP98" t="str">
        <f>Tugitegevused!C116</f>
        <v>Vali</v>
      </c>
      <c r="DQ98">
        <f>Tugitegevused!D116</f>
        <v>0</v>
      </c>
      <c r="DR98">
        <f>Tugitegevused!E116</f>
        <v>0</v>
      </c>
      <c r="DS98" t="str">
        <f>IFERROR(VLOOKUP(DP98,EFid!$A$364:$B$411,2,FALSE),"0")</f>
        <v>0</v>
      </c>
      <c r="DT98">
        <f t="shared" si="86"/>
        <v>0</v>
      </c>
    </row>
    <row r="99" spans="1:124">
      <c r="AY99" s="20">
        <f>Taimekasvatus!E135</f>
        <v>0</v>
      </c>
      <c r="AZ99" t="str">
        <f>Taimekasvatus!F135</f>
        <v>l/kg toodet</v>
      </c>
      <c r="BA99">
        <f>Taimekasvatus!G135</f>
        <v>0</v>
      </c>
      <c r="BB99">
        <f>IFERROR(VLOOKUP(AY99,'EFid TK'!$J$108:$L$114,3,FALSE),0)</f>
        <v>0</v>
      </c>
      <c r="BC99">
        <f t="shared" si="132"/>
        <v>0</v>
      </c>
      <c r="BD99" s="21"/>
      <c r="BH99" s="6">
        <v>0</v>
      </c>
      <c r="BI99">
        <v>0</v>
      </c>
      <c r="BJ99">
        <f>IFERROR(VLOOKUP(BH99,EFid!$A$415:$D$428,2,FALSE),0)</f>
        <v>0</v>
      </c>
      <c r="BL99" s="11">
        <f t="shared" si="133"/>
        <v>0</v>
      </c>
      <c r="BP99" s="20">
        <f>Loomakasvatus!C74</f>
        <v>0</v>
      </c>
      <c r="BR99">
        <f>Loomakasvatus!D74</f>
        <v>0</v>
      </c>
      <c r="BS99">
        <f>IFERROR(VLOOKUP(BP99,'EFid TK'!$B$4:$C$36,2,FALSE),0)</f>
        <v>0</v>
      </c>
      <c r="BT99">
        <f t="shared" si="80"/>
        <v>0</v>
      </c>
      <c r="BU99" s="21"/>
      <c r="BW99" s="20">
        <f>Loomakasvatus!C540</f>
        <v>0</v>
      </c>
      <c r="BY99">
        <f>Loomakasvatus!D540</f>
        <v>0</v>
      </c>
      <c r="BZ99">
        <f>IFERROR(VLOOKUP(BW99,'EFid TK'!$B$4:$C$36,2,FALSE),0)</f>
        <v>0</v>
      </c>
      <c r="CA99">
        <f t="shared" si="134"/>
        <v>0</v>
      </c>
      <c r="CB99" s="21"/>
      <c r="DP99" t="str">
        <f>Tugitegevused!C117</f>
        <v>Vali</v>
      </c>
      <c r="DQ99">
        <f>Tugitegevused!D117</f>
        <v>0</v>
      </c>
      <c r="DR99">
        <f>Tugitegevused!E117</f>
        <v>0</v>
      </c>
      <c r="DS99" t="str">
        <f>IFERROR(VLOOKUP(DP99,EFid!$A$364:$B$411,2,FALSE),"0")</f>
        <v>0</v>
      </c>
      <c r="DT99">
        <f t="shared" si="86"/>
        <v>0</v>
      </c>
    </row>
    <row r="100" spans="1:124" ht="15" thickBot="1">
      <c r="AY100" s="20">
        <f>Taimekasvatus!E136</f>
        <v>0</v>
      </c>
      <c r="AZ100" t="str">
        <f>Taimekasvatus!F136</f>
        <v>l/kg toodet</v>
      </c>
      <c r="BA100">
        <f>Taimekasvatus!G136</f>
        <v>0</v>
      </c>
      <c r="BB100">
        <f>IFERROR(VLOOKUP(AY100,'EFid TK'!$J$108:$L$114,3,FALSE),0)</f>
        <v>0</v>
      </c>
      <c r="BC100">
        <f t="shared" si="132"/>
        <v>0</v>
      </c>
      <c r="BD100" s="21"/>
      <c r="BH100" s="6">
        <v>0</v>
      </c>
      <c r="BI100">
        <v>0</v>
      </c>
      <c r="BJ100">
        <f>IFERROR(VLOOKUP(BH100,EFid!$A$415:$D$428,2,FALSE),0)</f>
        <v>0</v>
      </c>
      <c r="BL100" s="11">
        <f t="shared" si="133"/>
        <v>0</v>
      </c>
      <c r="BP100" s="20">
        <f>Loomakasvatus!C75</f>
        <v>0</v>
      </c>
      <c r="BR100">
        <f>Loomakasvatus!D75</f>
        <v>0</v>
      </c>
      <c r="BS100">
        <f>IFERROR(VLOOKUP(BP100,'EFid TK'!$B$4:$C$36,2,FALSE),0)</f>
        <v>0</v>
      </c>
      <c r="BT100">
        <f t="shared" ref="BT100:BT103" si="135">BS100*BR100</f>
        <v>0</v>
      </c>
      <c r="BU100" s="21"/>
      <c r="BW100" s="20">
        <f>Loomakasvatus!C541</f>
        <v>0</v>
      </c>
      <c r="BY100">
        <f>Loomakasvatus!D541</f>
        <v>0</v>
      </c>
      <c r="BZ100">
        <f>IFERROR(VLOOKUP(BW100,'EFid TK'!$B$4:$C$36,2,FALSE),0)</f>
        <v>0</v>
      </c>
      <c r="CA100">
        <f t="shared" si="134"/>
        <v>0</v>
      </c>
      <c r="CB100" s="21"/>
      <c r="DP100" t="str">
        <f>Tugitegevused!C118</f>
        <v>Vali</v>
      </c>
      <c r="DQ100">
        <f>Tugitegevused!D118</f>
        <v>0</v>
      </c>
      <c r="DR100">
        <f>Tugitegevused!E118</f>
        <v>0</v>
      </c>
      <c r="DS100" t="str">
        <f>IFERROR(VLOOKUP(DP100,EFid!$A$364:$B$411,2,FALSE),"0")</f>
        <v>0</v>
      </c>
      <c r="DT100">
        <f t="shared" si="86"/>
        <v>0</v>
      </c>
    </row>
    <row r="101" spans="1:124" ht="15" thickBot="1">
      <c r="B101" s="1340" t="s">
        <v>643</v>
      </c>
      <c r="C101" s="1340"/>
      <c r="D101" s="1340"/>
      <c r="E101" s="1340"/>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Y101" s="20">
        <f>Taimekasvatus!E137</f>
        <v>0</v>
      </c>
      <c r="AZ101" t="str">
        <f>Taimekasvatus!F137</f>
        <v>l/kg toodet</v>
      </c>
      <c r="BA101">
        <f>Taimekasvatus!G137</f>
        <v>0</v>
      </c>
      <c r="BB101">
        <f>IFERROR(VLOOKUP(AY101,'EFid TK'!$J$108:$L$114,3,FALSE),0)</f>
        <v>0</v>
      </c>
      <c r="BC101">
        <f t="shared" si="132"/>
        <v>0</v>
      </c>
      <c r="BD101" s="21"/>
      <c r="BH101" s="6">
        <v>0</v>
      </c>
      <c r="BI101">
        <v>0</v>
      </c>
      <c r="BJ101">
        <f>IFERROR(VLOOKUP(BH101,EFid!$A$415:$D$428,2,FALSE),0)</f>
        <v>0</v>
      </c>
      <c r="BL101" s="11">
        <f t="shared" si="133"/>
        <v>0</v>
      </c>
      <c r="BP101" s="20">
        <f>Loomakasvatus!C76</f>
        <v>0</v>
      </c>
      <c r="BR101">
        <f>Loomakasvatus!D76</f>
        <v>0</v>
      </c>
      <c r="BS101">
        <f>IFERROR(VLOOKUP(BP101,'EFid TK'!$B$4:$C$36,2,FALSE),0)</f>
        <v>0</v>
      </c>
      <c r="BT101">
        <f t="shared" si="135"/>
        <v>0</v>
      </c>
      <c r="BU101" s="21"/>
      <c r="BW101" s="58">
        <f>Loomakasvatus!C542</f>
        <v>0</v>
      </c>
      <c r="BX101" s="36"/>
      <c r="BY101" s="36">
        <f>Loomakasvatus!D542</f>
        <v>0</v>
      </c>
      <c r="BZ101" s="36">
        <f>IFERROR(VLOOKUP(BW101,'EFid TK'!$B$4:$C$36,2,FALSE),0)</f>
        <v>0</v>
      </c>
      <c r="CA101" s="36">
        <f t="shared" si="134"/>
        <v>0</v>
      </c>
      <c r="CB101" s="37"/>
      <c r="DP101" t="str">
        <f>Tugitegevused!C119</f>
        <v>Vali</v>
      </c>
      <c r="DQ101">
        <f>Tugitegevused!D119</f>
        <v>0</v>
      </c>
      <c r="DR101">
        <f>Tugitegevused!E119</f>
        <v>0</v>
      </c>
      <c r="DS101" t="str">
        <f>IFERROR(VLOOKUP(DP101,EFid!$A$364:$B$411,2,FALSE),"0")</f>
        <v>0</v>
      </c>
      <c r="DT101">
        <f t="shared" si="86"/>
        <v>0</v>
      </c>
    </row>
    <row r="102" spans="1:124" ht="15" thickBot="1">
      <c r="B102" s="20"/>
      <c r="E102" s="21"/>
      <c r="AY102" s="58">
        <f>Taimekasvatus!E138</f>
        <v>0</v>
      </c>
      <c r="AZ102" s="36" t="str">
        <f>Taimekasvatus!F138</f>
        <v>l/kg toodet</v>
      </c>
      <c r="BA102" s="36">
        <f>Taimekasvatus!G138</f>
        <v>0</v>
      </c>
      <c r="BB102" s="36">
        <f>IFERROR(VLOOKUP(AY102,'EFid TK'!$J$108:$L$114,3,FALSE),0)</f>
        <v>0</v>
      </c>
      <c r="BC102" s="36">
        <f t="shared" si="132"/>
        <v>0</v>
      </c>
      <c r="BD102" s="37"/>
      <c r="BH102" s="6">
        <v>0</v>
      </c>
      <c r="BI102">
        <v>0</v>
      </c>
      <c r="BJ102">
        <f>IFERROR(VLOOKUP(BH102,EFid!$A$415:$D$428,2,FALSE),0)</f>
        <v>0</v>
      </c>
      <c r="BL102" s="11">
        <f t="shared" si="133"/>
        <v>0</v>
      </c>
      <c r="BP102" s="20">
        <f>Loomakasvatus!C77</f>
        <v>0</v>
      </c>
      <c r="BR102">
        <f>Loomakasvatus!D77</f>
        <v>0</v>
      </c>
      <c r="BS102">
        <f>IFERROR(VLOOKUP(BP102,'EFid TK'!$B$4:$C$36,2,FALSE),0)</f>
        <v>0</v>
      </c>
      <c r="BT102">
        <f t="shared" si="135"/>
        <v>0</v>
      </c>
      <c r="BU102" s="21"/>
      <c r="DP102" t="str">
        <f>Tugitegevused!C120</f>
        <v>Vali</v>
      </c>
      <c r="DQ102">
        <f>Tugitegevused!D120</f>
        <v>0</v>
      </c>
      <c r="DR102">
        <f>Tugitegevused!E120</f>
        <v>0</v>
      </c>
      <c r="DS102" t="str">
        <f>IFERROR(VLOOKUP(DP102,EFid!$A$364:$B$411,2,FALSE),"0")</f>
        <v>0</v>
      </c>
      <c r="DT102">
        <f t="shared" si="86"/>
        <v>0</v>
      </c>
    </row>
    <row r="103" spans="1:124" ht="15" thickBot="1">
      <c r="B103" s="193" t="s">
        <v>728</v>
      </c>
      <c r="C103" s="178"/>
      <c r="D103" s="178"/>
      <c r="E103" s="194"/>
      <c r="AY103" s="80" t="str">
        <f>Taimekasvatus!D139</f>
        <v>Sisseostetud seeme</v>
      </c>
      <c r="AZ103" s="20" t="str">
        <f>Taimekasvatus!F139</f>
        <v>Ühik</v>
      </c>
      <c r="BA103" s="20" t="str">
        <f>Taimekasvatus!G139</f>
        <v>Kogus</v>
      </c>
      <c r="BB103" t="str">
        <f>IFERROR(VLOOKUP(AY103,'EFid TK'!$A$151:$B$170,2,FALSE),"")</f>
        <v/>
      </c>
      <c r="BC103" s="1" t="s">
        <v>15</v>
      </c>
      <c r="BD103" s="448">
        <f>SUM(BD104:BD114)</f>
        <v>0</v>
      </c>
      <c r="BH103" s="6">
        <v>0</v>
      </c>
      <c r="BI103">
        <v>0</v>
      </c>
      <c r="BJ103">
        <f>IFERROR(VLOOKUP(BH103,EFid!$A$415:$D$428,2,FALSE),0)</f>
        <v>0</v>
      </c>
      <c r="BL103" s="11">
        <f t="shared" si="133"/>
        <v>0</v>
      </c>
      <c r="BP103" s="58">
        <f>Loomakasvatus!C78</f>
        <v>0</v>
      </c>
      <c r="BQ103" s="36"/>
      <c r="BR103" s="36">
        <f>Loomakasvatus!D78</f>
        <v>0</v>
      </c>
      <c r="BS103" s="36">
        <f>IFERROR(VLOOKUP(BP103,'EFid TK'!$B$4:$C$36,2,FALSE),0)</f>
        <v>0</v>
      </c>
      <c r="BT103" s="36">
        <f t="shared" si="135"/>
        <v>0</v>
      </c>
      <c r="BU103" s="37"/>
      <c r="DP103" t="str">
        <f>Tugitegevused!C121</f>
        <v>Vali</v>
      </c>
      <c r="DQ103">
        <f>Tugitegevused!D121</f>
        <v>0</v>
      </c>
      <c r="DR103">
        <f>Tugitegevused!E121</f>
        <v>0</v>
      </c>
      <c r="DS103" t="str">
        <f>IFERROR(VLOOKUP(DP103,EFid!$A$364:$B$411,2,FALSE),"0")</f>
        <v>0</v>
      </c>
      <c r="DT103">
        <f t="shared" si="86"/>
        <v>0</v>
      </c>
    </row>
    <row r="104" spans="1:124">
      <c r="B104" s="188" t="s">
        <v>729</v>
      </c>
      <c r="C104" s="189"/>
      <c r="D104" s="189"/>
      <c r="E104" s="190"/>
      <c r="G104" s="1" t="s">
        <v>730</v>
      </c>
      <c r="H104" s="1" t="s">
        <v>286</v>
      </c>
      <c r="AY104" s="20">
        <f>Taimekasvatus!E140</f>
        <v>0</v>
      </c>
      <c r="AZ104" s="20" t="str">
        <f>Taimekasvatus!F140</f>
        <v>kg</v>
      </c>
      <c r="BA104" s="20">
        <f>Taimekasvatus!G140</f>
        <v>0</v>
      </c>
      <c r="BB104" t="str">
        <f>IFERROR(VLOOKUP(AY104,'EFid TK'!$A$152:$C$166,3,FALSE),"")</f>
        <v/>
      </c>
      <c r="BD104" s="21">
        <f>IFERROR(BB104*BA104,0)</f>
        <v>0</v>
      </c>
      <c r="BH104" s="6">
        <v>0</v>
      </c>
      <c r="BI104">
        <v>0</v>
      </c>
      <c r="BJ104">
        <f>IFERROR(VLOOKUP(BH104,EFid!$A$415:$D$428,2,FALSE),0)</f>
        <v>0</v>
      </c>
      <c r="BL104" s="11">
        <f t="shared" si="133"/>
        <v>0</v>
      </c>
      <c r="DP104" t="str">
        <f>Tugitegevused!C122</f>
        <v>Vali</v>
      </c>
      <c r="DQ104">
        <f>Tugitegevused!D122</f>
        <v>0</v>
      </c>
      <c r="DR104">
        <f>Tugitegevused!E122</f>
        <v>0</v>
      </c>
      <c r="DS104" t="str">
        <f>IFERROR(VLOOKUP(DP104,EFid!$A$364:$B$411,2,FALSE),"0")</f>
        <v>0</v>
      </c>
      <c r="DT104">
        <f t="shared" si="86"/>
        <v>0</v>
      </c>
    </row>
    <row r="105" spans="1:124">
      <c r="B105" s="20" t="s">
        <v>731</v>
      </c>
      <c r="C105" t="s">
        <v>732</v>
      </c>
      <c r="E105" s="186">
        <f>SUM(G105:H105)</f>
        <v>0</v>
      </c>
      <c r="F105" t="s">
        <v>135</v>
      </c>
      <c r="G105" s="42">
        <f>G106*G107/1000</f>
        <v>0</v>
      </c>
      <c r="H105" s="42">
        <f>H106*H107/1000</f>
        <v>0</v>
      </c>
      <c r="AY105" s="20">
        <f>Taimekasvatus!E141</f>
        <v>0</v>
      </c>
      <c r="AZ105" s="20" t="str">
        <f>Taimekasvatus!F141</f>
        <v>kg</v>
      </c>
      <c r="BA105" s="20">
        <f>Taimekasvatus!G141</f>
        <v>0</v>
      </c>
      <c r="BB105" t="str">
        <f>IFERROR(VLOOKUP(AY105,'EFid TK'!$A$152:$C$166,3,FALSE),"")</f>
        <v/>
      </c>
      <c r="BD105" s="21">
        <f>IFERROR(BB105*BA105,0)</f>
        <v>0</v>
      </c>
      <c r="BH105" s="6">
        <v>0</v>
      </c>
      <c r="BI105">
        <v>0</v>
      </c>
      <c r="BJ105">
        <f>IFERROR(VLOOKUP(BH105,EFid!$A$415:$D$428,2,FALSE),0)</f>
        <v>0</v>
      </c>
      <c r="BL105" s="11">
        <f t="shared" si="133"/>
        <v>0</v>
      </c>
      <c r="BW105" s="456" t="s">
        <v>733</v>
      </c>
      <c r="DP105" t="str">
        <f>Tugitegevused!C123</f>
        <v>Vali</v>
      </c>
      <c r="DQ105">
        <f>Tugitegevused!D123</f>
        <v>0</v>
      </c>
      <c r="DR105">
        <f>Tugitegevused!E123</f>
        <v>0</v>
      </c>
      <c r="DS105" t="str">
        <f>IFERROR(VLOOKUP(DP105,EFid!$A$364:$B$411,2,FALSE),"0")</f>
        <v>0</v>
      </c>
      <c r="DT105">
        <f t="shared" si="86"/>
        <v>0</v>
      </c>
    </row>
    <row r="106" spans="1:124">
      <c r="B106" s="32" t="s">
        <v>734</v>
      </c>
      <c r="C106" s="33" t="s">
        <v>735</v>
      </c>
      <c r="D106" s="33"/>
      <c r="E106" s="933" t="e">
        <f>Loomakasvatus!#REF!</f>
        <v>#REF!</v>
      </c>
      <c r="F106" t="s">
        <v>736</v>
      </c>
      <c r="G106" s="811" cm="1">
        <f t="array" ref="G106:H106">Loomakasvatus!C212:D212</f>
        <v>0</v>
      </c>
      <c r="H106" s="811">
        <v>0</v>
      </c>
      <c r="AY106" s="20">
        <f>Taimekasvatus!E142</f>
        <v>0</v>
      </c>
      <c r="AZ106" s="20" t="str">
        <f>Taimekasvatus!F142</f>
        <v>kg</v>
      </c>
      <c r="BA106" s="20">
        <f>Taimekasvatus!G142</f>
        <v>0</v>
      </c>
      <c r="BB106" t="str">
        <f>IFERROR(VLOOKUP(AY106,'EFid TK'!$A$152:$C$166,3,FALSE),"")</f>
        <v/>
      </c>
      <c r="BD106" s="21">
        <f>IFERROR(BB106*BA106,0)</f>
        <v>0</v>
      </c>
      <c r="BH106" s="7">
        <v>0</v>
      </c>
      <c r="BI106" s="8">
        <v>0</v>
      </c>
      <c r="BJ106">
        <f>IFERROR(VLOOKUP(BH106,EFid!$A$415:$D$428,2,FALSE),0)</f>
        <v>0</v>
      </c>
      <c r="BK106" s="8"/>
      <c r="BL106" s="41">
        <f t="shared" si="133"/>
        <v>0</v>
      </c>
      <c r="BO106" s="1"/>
      <c r="BW106" s="1" t="s">
        <v>178</v>
      </c>
      <c r="CC106" s="1" t="s">
        <v>180</v>
      </c>
      <c r="CI106" s="1" t="s">
        <v>183</v>
      </c>
      <c r="DP106" t="str">
        <f>Tugitegevused!C124</f>
        <v>Vali</v>
      </c>
      <c r="DQ106">
        <f>Tugitegevused!D124</f>
        <v>0</v>
      </c>
      <c r="DR106">
        <f>Tugitegevused!E124</f>
        <v>0</v>
      </c>
      <c r="DS106" t="str">
        <f>IFERROR(VLOOKUP(DP106,EFid!$A$364:$B$411,2,FALSE),"0")</f>
        <v>0</v>
      </c>
      <c r="DT106">
        <f t="shared" si="86"/>
        <v>0</v>
      </c>
    </row>
    <row r="107" spans="1:124">
      <c r="B107" s="182" t="s">
        <v>737</v>
      </c>
      <c r="C107" s="49" t="s">
        <v>738</v>
      </c>
      <c r="D107" s="49"/>
      <c r="E107" s="934" t="e">
        <f>Loomakasvatus!#REF!</f>
        <v>#REF!</v>
      </c>
      <c r="F107" t="s">
        <v>135</v>
      </c>
      <c r="G107" s="811" cm="1">
        <f t="array" ref="G107:H107">Loomakasvatus!C211:D211</f>
        <v>0</v>
      </c>
      <c r="H107" s="811">
        <v>0</v>
      </c>
      <c r="AY107" s="20">
        <f>Taimekasvatus!E143</f>
        <v>0</v>
      </c>
      <c r="AZ107" s="20" t="str">
        <f>Taimekasvatus!F143</f>
        <v>kg</v>
      </c>
      <c r="BA107" s="20">
        <f>Taimekasvatus!G143</f>
        <v>0</v>
      </c>
      <c r="BB107" t="str">
        <f>IFERROR(VLOOKUP(AY107,'EFid TK'!$A$152:$C$166,3,FALSE),"")</f>
        <v/>
      </c>
      <c r="BD107" s="21">
        <f>IFERROR(BB107*BA107,0)</f>
        <v>0</v>
      </c>
      <c r="BH107" s="2" cm="1">
        <f t="array" ref="BH107:BH116">Loomakasvatus!C373:C382</f>
        <v>0</v>
      </c>
      <c r="BI107" s="3" cm="1">
        <f t="array" ref="BI107:BI116">Loomakasvatus!D373:D382</f>
        <v>0</v>
      </c>
      <c r="BJ107" s="3">
        <f>IFERROR(VLOOKUP(BH107,EFid!$A$415:$D$428,2,FALSE),0)</f>
        <v>0</v>
      </c>
      <c r="BK107" s="160"/>
      <c r="BL107" s="9">
        <f t="shared" si="133"/>
        <v>0</v>
      </c>
      <c r="BM107">
        <f>SUM(BL107:BL116)</f>
        <v>0</v>
      </c>
      <c r="BP107" s="163" t="s">
        <v>452</v>
      </c>
      <c r="BQ107" s="3" t="s">
        <v>108</v>
      </c>
      <c r="BR107" s="3" t="s">
        <v>724</v>
      </c>
      <c r="BS107" s="3" t="s">
        <v>19</v>
      </c>
      <c r="BT107" s="9" t="s">
        <v>725</v>
      </c>
      <c r="BW107" s="457" t="s">
        <v>739</v>
      </c>
      <c r="BX107" t="s">
        <v>108</v>
      </c>
      <c r="BY107" t="s">
        <v>516</v>
      </c>
      <c r="BZ107" t="s">
        <v>524</v>
      </c>
      <c r="CC107" s="457" t="s">
        <v>739</v>
      </c>
      <c r="CD107" t="s">
        <v>108</v>
      </c>
      <c r="CE107" t="s">
        <v>516</v>
      </c>
      <c r="CF107" t="s">
        <v>524</v>
      </c>
      <c r="CI107" s="457" t="s">
        <v>739</v>
      </c>
      <c r="CJ107" t="s">
        <v>108</v>
      </c>
      <c r="CK107" t="s">
        <v>516</v>
      </c>
      <c r="CL107" t="s">
        <v>524</v>
      </c>
      <c r="DP107" t="str">
        <f>Tugitegevused!C125</f>
        <v>Vali</v>
      </c>
      <c r="DQ107">
        <f>Tugitegevused!D125</f>
        <v>0</v>
      </c>
      <c r="DR107">
        <f>Tugitegevused!E125</f>
        <v>0</v>
      </c>
      <c r="DS107" t="str">
        <f>IFERROR(VLOOKUP(DP107,EFid!$A$364:$B$411,2,FALSE),"0")</f>
        <v>0</v>
      </c>
      <c r="DT107">
        <f t="shared" si="86"/>
        <v>0</v>
      </c>
    </row>
    <row r="108" spans="1:124">
      <c r="B108" s="193" t="s">
        <v>740</v>
      </c>
      <c r="C108" s="178"/>
      <c r="D108" s="178"/>
      <c r="E108" s="194"/>
      <c r="AW108" s="1"/>
      <c r="AY108" s="20">
        <f>Taimekasvatus!E144</f>
        <v>0</v>
      </c>
      <c r="AZ108" s="20" t="str">
        <f>Taimekasvatus!F144</f>
        <v>kg</v>
      </c>
      <c r="BA108" s="20">
        <f>Taimekasvatus!G144</f>
        <v>0</v>
      </c>
      <c r="BB108" t="str">
        <f>IFERROR(VLOOKUP(AY108,'EFid TK'!$A$152:$C$166,3,FALSE),"")</f>
        <v/>
      </c>
      <c r="BD108" s="21">
        <f t="shared" ref="BD108:BD114" si="136">IFERROR(BB108*BA108,0)</f>
        <v>0</v>
      </c>
      <c r="BH108" s="6">
        <v>0</v>
      </c>
      <c r="BI108">
        <v>0</v>
      </c>
      <c r="BJ108">
        <f>IFERROR(VLOOKUP(BH108,EFid!$A$415:$D$428,2,FALSE),0)</f>
        <v>0</v>
      </c>
      <c r="BL108" s="11">
        <f t="shared" si="133"/>
        <v>0</v>
      </c>
      <c r="BP108" s="6" cm="1">
        <f t="array" ref="BP108:BP116">Loomakasvatus!C287:C295</f>
        <v>0</v>
      </c>
      <c r="BQ108" cm="1">
        <f t="array" ref="BQ108:BQ116">Loomakasvatus!D287:D295</f>
        <v>0</v>
      </c>
      <c r="BR108">
        <f>IFERROR(VLOOKUP(BP108,EFid!$A$243:$D$250,2,FALSE),0)</f>
        <v>0</v>
      </c>
      <c r="BT108" s="11">
        <f>BR108*BQ108</f>
        <v>0</v>
      </c>
      <c r="BU108">
        <f>SUM(BT108:BT116)</f>
        <v>0</v>
      </c>
      <c r="BW108">
        <f>BI4</f>
        <v>0</v>
      </c>
      <c r="BX108">
        <f>BJ4</f>
        <v>0</v>
      </c>
      <c r="BY108" t="str">
        <f>IFERROR(VLOOKUP(BW108,EFid!$A$101:$B$124,2,FALSE),"0")</f>
        <v>0</v>
      </c>
      <c r="BZ108">
        <f>BX108*BY108</f>
        <v>0</v>
      </c>
      <c r="CA108">
        <f>SUM(BZ108:BZ110)</f>
        <v>0</v>
      </c>
      <c r="CC108">
        <f t="shared" ref="CC108:CD110" si="137">BQ3</f>
        <v>0</v>
      </c>
      <c r="CD108">
        <f t="shared" si="137"/>
        <v>0</v>
      </c>
      <c r="CE108" t="str">
        <f>IFERROR(VLOOKUP(CC108,EFid!$A$101:$B$124,2,FALSE),"0")</f>
        <v>0</v>
      </c>
      <c r="CF108">
        <f>CD108*CE108</f>
        <v>0</v>
      </c>
      <c r="CG108">
        <f>SUM(CF108:CF110)</f>
        <v>0</v>
      </c>
      <c r="CI108">
        <f>CE4</f>
        <v>0</v>
      </c>
      <c r="CJ108">
        <f>CF4</f>
        <v>0</v>
      </c>
      <c r="CK108" t="str">
        <f>IFERROR(VLOOKUP(CI108,EFid!$A$101:$B$124,2,FALSE),"0")</f>
        <v>0</v>
      </c>
      <c r="CL108">
        <f>CK108*CJ108</f>
        <v>0</v>
      </c>
      <c r="CM108">
        <f>SUM(CL108:CL110)</f>
        <v>0</v>
      </c>
      <c r="DP108" t="str">
        <f>Tugitegevused!C126</f>
        <v>Vali</v>
      </c>
      <c r="DQ108">
        <f>Tugitegevused!D126</f>
        <v>0</v>
      </c>
      <c r="DR108">
        <f>Tugitegevused!E126</f>
        <v>0</v>
      </c>
      <c r="DS108" t="str">
        <f>IFERROR(VLOOKUP(DP108,EFid!$A$364:$B$411,2,FALSE),"0")</f>
        <v>0</v>
      </c>
      <c r="DT108">
        <f t="shared" si="86"/>
        <v>0</v>
      </c>
    </row>
    <row r="109" spans="1:124">
      <c r="B109" s="188" t="s">
        <v>741</v>
      </c>
      <c r="C109" s="189"/>
      <c r="D109" s="189"/>
      <c r="E109" s="190"/>
      <c r="AW109" s="1"/>
      <c r="AY109" s="20">
        <f>Taimekasvatus!E145</f>
        <v>0</v>
      </c>
      <c r="AZ109" s="20" t="str">
        <f>Taimekasvatus!F145</f>
        <v>kg</v>
      </c>
      <c r="BA109" s="20">
        <f>Taimekasvatus!G145</f>
        <v>0</v>
      </c>
      <c r="BB109" t="str">
        <f>IFERROR(VLOOKUP(AY109,'EFid TK'!$A$152:$C$166,3,FALSE),"")</f>
        <v/>
      </c>
      <c r="BD109" s="21">
        <f t="shared" si="136"/>
        <v>0</v>
      </c>
      <c r="BG109" t="s">
        <v>179</v>
      </c>
      <c r="BH109" s="6">
        <v>0</v>
      </c>
      <c r="BI109">
        <v>0</v>
      </c>
      <c r="BJ109">
        <f>IFERROR(VLOOKUP(BH109,EFid!$A$415:$D$428,2,FALSE),0)</f>
        <v>0</v>
      </c>
      <c r="BL109" s="11">
        <f t="shared" si="133"/>
        <v>0</v>
      </c>
      <c r="BO109" t="s">
        <v>178</v>
      </c>
      <c r="BP109" s="6">
        <v>0</v>
      </c>
      <c r="BQ109">
        <v>0</v>
      </c>
      <c r="BR109">
        <f>IFERROR(VLOOKUP(BP109,EFid!$A$243:$D$250,2,FALSE),0)</f>
        <v>0</v>
      </c>
      <c r="BT109" s="11">
        <f t="shared" ref="BT109:BT170" si="138">BR109*BQ109</f>
        <v>0</v>
      </c>
      <c r="BW109">
        <f>BI5</f>
        <v>0</v>
      </c>
      <c r="BX109">
        <f>BJ5</f>
        <v>0</v>
      </c>
      <c r="BY109" t="str">
        <f>IFERROR(VLOOKUP(BW109,EFid!$A$101:$B$124,2,FALSE),"0")</f>
        <v>0</v>
      </c>
      <c r="BZ109">
        <f>BX109*BY109</f>
        <v>0</v>
      </c>
      <c r="CC109">
        <f t="shared" si="137"/>
        <v>0</v>
      </c>
      <c r="CD109">
        <f t="shared" si="137"/>
        <v>0</v>
      </c>
      <c r="CE109" t="str">
        <f>IFERROR(VLOOKUP(CC109,EFid!$A$101:$B$124,2,FALSE),"0")</f>
        <v>0</v>
      </c>
      <c r="CF109">
        <f t="shared" ref="CF109:CF110" si="139">CD109*CE109</f>
        <v>0</v>
      </c>
      <c r="CI109">
        <f>CE5</f>
        <v>0</v>
      </c>
      <c r="CJ109">
        <f>CF5</f>
        <v>0</v>
      </c>
      <c r="CK109" t="str">
        <f>IFERROR(VLOOKUP(CI109,EFid!$A$101:$B$124,2,FALSE),"0")</f>
        <v>0</v>
      </c>
      <c r="CL109">
        <f t="shared" ref="CL109:CL110" si="140">CK109*CJ109</f>
        <v>0</v>
      </c>
      <c r="DP109" t="str">
        <f>Tugitegevused!C127</f>
        <v>Vali</v>
      </c>
      <c r="DQ109">
        <f>Tugitegevused!D127</f>
        <v>0</v>
      </c>
      <c r="DR109">
        <f>Tugitegevused!E127</f>
        <v>0</v>
      </c>
      <c r="DS109" t="str">
        <f>IFERROR(VLOOKUP(DP109,EFid!$A$364:$B$411,2,FALSE),"0")</f>
        <v>0</v>
      </c>
      <c r="DT109">
        <f t="shared" si="86"/>
        <v>0</v>
      </c>
    </row>
    <row r="110" spans="1:124">
      <c r="B110" s="20" t="s">
        <v>742</v>
      </c>
      <c r="C110" t="s">
        <v>743</v>
      </c>
      <c r="E110" s="186">
        <f>SUM(G110:H110)</f>
        <v>0</v>
      </c>
      <c r="F110" t="s">
        <v>135</v>
      </c>
      <c r="G110" s="42">
        <f>G111-G112*G113-G114*G115</f>
        <v>0</v>
      </c>
      <c r="H110" s="42">
        <f>H111-H112*H113-H114*H115</f>
        <v>0</v>
      </c>
      <c r="AY110" s="20">
        <f>Taimekasvatus!E146</f>
        <v>0</v>
      </c>
      <c r="AZ110" s="20" t="str">
        <f>Taimekasvatus!F146</f>
        <v>kg</v>
      </c>
      <c r="BA110" s="20">
        <f>Taimekasvatus!G146</f>
        <v>0</v>
      </c>
      <c r="BB110" t="str">
        <f>IFERROR(VLOOKUP(AY110,'EFid TK'!$A$152:$C$166,3,FALSE),"")</f>
        <v/>
      </c>
      <c r="BD110" s="21">
        <f t="shared" si="136"/>
        <v>0</v>
      </c>
      <c r="BH110" s="6">
        <v>0</v>
      </c>
      <c r="BI110">
        <v>0</v>
      </c>
      <c r="BJ110">
        <f>IFERROR(VLOOKUP(BH110,EFid!$A$415:$D$428,2,FALSE),0)</f>
        <v>0</v>
      </c>
      <c r="BL110" s="11">
        <f t="shared" si="133"/>
        <v>0</v>
      </c>
      <c r="BP110" s="6">
        <v>0</v>
      </c>
      <c r="BQ110">
        <v>0</v>
      </c>
      <c r="BR110">
        <f>IFERROR(VLOOKUP(BP110,EFid!$A$243:$D$250,2,FALSE),0)</f>
        <v>0</v>
      </c>
      <c r="BT110" s="11">
        <f t="shared" si="138"/>
        <v>0</v>
      </c>
      <c r="BW110">
        <f>BI3</f>
        <v>0</v>
      </c>
      <c r="BX110">
        <f>BJ3</f>
        <v>0</v>
      </c>
      <c r="BY110" t="str">
        <f>IFERROR(VLOOKUP(BW110,EFid!$A$101:$B$124,2,FALSE),"0")</f>
        <v>0</v>
      </c>
      <c r="BZ110">
        <f>BX110*BY110</f>
        <v>0</v>
      </c>
      <c r="CC110">
        <f t="shared" si="137"/>
        <v>0</v>
      </c>
      <c r="CD110">
        <f t="shared" si="137"/>
        <v>0</v>
      </c>
      <c r="CE110" t="str">
        <f>IFERROR(VLOOKUP(CC110,EFid!$A$101:$B$124,2,FALSE),"0")</f>
        <v>0</v>
      </c>
      <c r="CF110">
        <f t="shared" si="139"/>
        <v>0</v>
      </c>
      <c r="CI110">
        <f>CE3</f>
        <v>0</v>
      </c>
      <c r="CJ110">
        <f>CF3</f>
        <v>0</v>
      </c>
      <c r="CK110" t="str">
        <f>IFERROR(VLOOKUP(CI110,EFid!$A$101:$B$124,2,FALSE),"0")</f>
        <v>0</v>
      </c>
      <c r="CL110">
        <f t="shared" si="140"/>
        <v>0</v>
      </c>
      <c r="DP110" t="str">
        <f>Tugitegevused!C128</f>
        <v>Vali</v>
      </c>
      <c r="DQ110">
        <f>Tugitegevused!D128</f>
        <v>0</v>
      </c>
      <c r="DR110">
        <f>Tugitegevused!E128</f>
        <v>0</v>
      </c>
      <c r="DS110" t="str">
        <f>IFERROR(VLOOKUP(DP110,EFid!$A$364:$B$411,2,FALSE),"0")</f>
        <v>0</v>
      </c>
      <c r="DT110">
        <f t="shared" si="86"/>
        <v>0</v>
      </c>
    </row>
    <row r="111" spans="1:124">
      <c r="B111" s="20" t="s">
        <v>731</v>
      </c>
      <c r="C111" t="s">
        <v>732</v>
      </c>
      <c r="E111" s="935">
        <f>E105</f>
        <v>0</v>
      </c>
      <c r="F111" t="s">
        <v>135</v>
      </c>
      <c r="G111" s="811">
        <f>G105</f>
        <v>0</v>
      </c>
      <c r="H111" s="811">
        <f>H105</f>
        <v>0</v>
      </c>
      <c r="AY111" s="20">
        <f>Taimekasvatus!E147</f>
        <v>0</v>
      </c>
      <c r="AZ111" s="20" t="str">
        <f>Taimekasvatus!F147</f>
        <v>kg</v>
      </c>
      <c r="BA111" s="20">
        <f>Taimekasvatus!G147</f>
        <v>0</v>
      </c>
      <c r="BB111" t="str">
        <f>IFERROR(VLOOKUP(AY111,'EFid TK'!$A$152:$C$166,3,FALSE),"")</f>
        <v/>
      </c>
      <c r="BD111" s="21">
        <f t="shared" si="136"/>
        <v>0</v>
      </c>
      <c r="BH111" s="6">
        <v>0</v>
      </c>
      <c r="BI111">
        <v>0</v>
      </c>
      <c r="BJ111">
        <f>IFERROR(VLOOKUP(BH111,EFid!$A$415:$D$428,2,FALSE),0)</f>
        <v>0</v>
      </c>
      <c r="BL111" s="11">
        <f t="shared" si="133"/>
        <v>0</v>
      </c>
      <c r="BP111" s="6">
        <v>0</v>
      </c>
      <c r="BQ111">
        <v>0</v>
      </c>
      <c r="BR111">
        <f>IFERROR(VLOOKUP(BP111,EFid!$A$243:$D$250,2,FALSE),0)</f>
        <v>0</v>
      </c>
      <c r="BT111" s="11">
        <f t="shared" si="138"/>
        <v>0</v>
      </c>
    </row>
    <row r="112" spans="1:124">
      <c r="B112" s="32" t="s">
        <v>744</v>
      </c>
      <c r="C112" s="33" t="s">
        <v>745</v>
      </c>
      <c r="D112" s="33"/>
      <c r="E112" s="933">
        <f>Loomakasvatus!D218</f>
        <v>0</v>
      </c>
      <c r="F112" t="s">
        <v>135</v>
      </c>
      <c r="G112" s="811">
        <f>Loomakasvatus!D218</f>
        <v>0</v>
      </c>
      <c r="H112" s="811">
        <v>0</v>
      </c>
      <c r="AY112" s="20">
        <f>Taimekasvatus!E149</f>
        <v>0</v>
      </c>
      <c r="AZ112" s="20" t="str">
        <f>Taimekasvatus!F149</f>
        <v>kg</v>
      </c>
      <c r="BA112" s="20">
        <f>Taimekasvatus!G149</f>
        <v>0</v>
      </c>
      <c r="BB112" t="str">
        <f>IFERROR(VLOOKUP(AY112,'EFid TK'!$A$152:$C$166,3,FALSE),"")</f>
        <v/>
      </c>
      <c r="BD112" s="21">
        <f t="shared" si="136"/>
        <v>0</v>
      </c>
      <c r="BH112" s="6">
        <v>0</v>
      </c>
      <c r="BI112">
        <v>0</v>
      </c>
      <c r="BJ112">
        <f>IFERROR(VLOOKUP(BH112,EFid!$A$415:$D$428,2,FALSE),0)</f>
        <v>0</v>
      </c>
      <c r="BL112" s="11">
        <f t="shared" si="133"/>
        <v>0</v>
      </c>
      <c r="BP112" s="6">
        <v>0</v>
      </c>
      <c r="BQ112">
        <v>0</v>
      </c>
      <c r="BR112">
        <f>IFERROR(VLOOKUP(BP112,EFid!$A$243:$D$250,2,FALSE),0)</f>
        <v>0</v>
      </c>
      <c r="BT112" s="11">
        <f t="shared" si="138"/>
        <v>0</v>
      </c>
      <c r="BW112" s="457" t="s">
        <v>455</v>
      </c>
      <c r="CC112" s="457" t="s">
        <v>455</v>
      </c>
      <c r="CI112" s="457" t="s">
        <v>455</v>
      </c>
    </row>
    <row r="113" spans="2:91">
      <c r="B113" s="20"/>
      <c r="C113" t="s">
        <v>746</v>
      </c>
      <c r="E113" s="187">
        <v>1.8100000000000002E-2</v>
      </c>
      <c r="F113" t="s">
        <v>747</v>
      </c>
      <c r="G113" s="811">
        <f>E113</f>
        <v>1.8100000000000002E-2</v>
      </c>
      <c r="H113" s="811">
        <f>E113</f>
        <v>1.8100000000000002E-2</v>
      </c>
      <c r="AY113" s="20">
        <f>Taimekasvatus!E150</f>
        <v>0</v>
      </c>
      <c r="AZ113" s="20" t="str">
        <f>Taimekasvatus!F150</f>
        <v>kg</v>
      </c>
      <c r="BA113" s="20">
        <f>Taimekasvatus!G150</f>
        <v>0</v>
      </c>
      <c r="BB113" t="str">
        <f>IFERROR(VLOOKUP(AY113,'EFid TK'!$A$152:$C$166,3,FALSE),"")</f>
        <v/>
      </c>
      <c r="BD113" s="21">
        <f t="shared" si="136"/>
        <v>0</v>
      </c>
      <c r="BH113" s="6">
        <v>0</v>
      </c>
      <c r="BI113">
        <v>0</v>
      </c>
      <c r="BJ113">
        <f>IFERROR(VLOOKUP(BH113,EFid!$A$415:$D$428,2,FALSE),0)</f>
        <v>0</v>
      </c>
      <c r="BL113" s="11">
        <f t="shared" si="133"/>
        <v>0</v>
      </c>
      <c r="BP113" s="6">
        <v>0</v>
      </c>
      <c r="BQ113">
        <v>0</v>
      </c>
      <c r="BR113">
        <f>IFERROR(VLOOKUP(BP113,EFid!$A$243:$D$250,2,FALSE),0)</f>
        <v>0</v>
      </c>
      <c r="BT113" s="11">
        <f t="shared" si="138"/>
        <v>0</v>
      </c>
      <c r="BW113">
        <f t="shared" ref="BW113:BX115" si="141">BI7</f>
        <v>0</v>
      </c>
      <c r="BX113">
        <f t="shared" si="141"/>
        <v>0</v>
      </c>
      <c r="BY113" t="str">
        <f>IFERROR(VLOOKUP(BW113,EFid!$A$77:$B$94,2,FALSE),"0")</f>
        <v>0</v>
      </c>
      <c r="BZ113">
        <f>BX113*BY113</f>
        <v>0</v>
      </c>
      <c r="CA113">
        <f>SUM(BZ113:BZ115)</f>
        <v>0</v>
      </c>
      <c r="CC113">
        <f t="shared" ref="CC113:CD115" si="142">BQ7</f>
        <v>0</v>
      </c>
      <c r="CD113">
        <f t="shared" si="142"/>
        <v>0</v>
      </c>
      <c r="CE113" t="str">
        <f>IFERROR(VLOOKUP(CC113,EFid!$A$77:$B$94,2,FALSE),"0")</f>
        <v>0</v>
      </c>
      <c r="CF113">
        <f>CD113*CE113</f>
        <v>0</v>
      </c>
      <c r="CG113">
        <f>SUM(CF113:CF115)</f>
        <v>0</v>
      </c>
      <c r="CI113">
        <f t="shared" ref="CI113:CJ115" si="143">CE7</f>
        <v>0</v>
      </c>
      <c r="CJ113">
        <f t="shared" si="143"/>
        <v>0</v>
      </c>
      <c r="CK113" t="str">
        <f>IFERROR(VLOOKUP(CI113,EFid!$A$77:$B$94,2,FALSE),"0")</f>
        <v>0</v>
      </c>
      <c r="CL113">
        <f>CJ113*CK113</f>
        <v>0</v>
      </c>
      <c r="CM113">
        <f>SUM(CL113:CL115)</f>
        <v>0</v>
      </c>
    </row>
    <row r="114" spans="2:91">
      <c r="B114" s="32" t="s">
        <v>748</v>
      </c>
      <c r="C114" s="33" t="s">
        <v>749</v>
      </c>
      <c r="D114" s="33"/>
      <c r="E114" s="933" t="e">
        <f>Loomakasvatus!#REF!</f>
        <v>#REF!</v>
      </c>
      <c r="F114" t="s">
        <v>135</v>
      </c>
      <c r="G114" s="811" cm="1">
        <f t="array" ref="G114:H114">Loomakasvatus!C213:D213</f>
        <v>0</v>
      </c>
      <c r="H114" s="811">
        <v>0</v>
      </c>
      <c r="AY114" s="20">
        <f>Taimekasvatus!E151</f>
        <v>0</v>
      </c>
      <c r="AZ114" s="20" t="str">
        <f>Taimekasvatus!F151</f>
        <v>kg</v>
      </c>
      <c r="BA114" s="20">
        <f>Taimekasvatus!G151</f>
        <v>0</v>
      </c>
      <c r="BB114" t="str">
        <f>IFERROR(VLOOKUP(AY114,'EFid TK'!$A$152:$C$166,3,FALSE),"")</f>
        <v/>
      </c>
      <c r="BD114" s="21">
        <f t="shared" si="136"/>
        <v>0</v>
      </c>
      <c r="BH114" s="6">
        <v>0</v>
      </c>
      <c r="BI114">
        <v>0</v>
      </c>
      <c r="BJ114">
        <f>IFERROR(VLOOKUP(BH114,EFid!$A$415:$D$428,2,FALSE),0)</f>
        <v>0</v>
      </c>
      <c r="BL114" s="11">
        <f t="shared" si="133"/>
        <v>0</v>
      </c>
      <c r="BP114" s="6">
        <v>0</v>
      </c>
      <c r="BQ114">
        <v>0</v>
      </c>
      <c r="BR114">
        <f>IFERROR(VLOOKUP(BP114,EFid!$A$243:$D$250,2,FALSE),0)</f>
        <v>0</v>
      </c>
      <c r="BT114" s="11">
        <f t="shared" si="138"/>
        <v>0</v>
      </c>
      <c r="BW114">
        <f t="shared" si="141"/>
        <v>0</v>
      </c>
      <c r="BX114">
        <f t="shared" si="141"/>
        <v>0</v>
      </c>
      <c r="BY114" t="str">
        <f>IFERROR(VLOOKUP(BW114,EFid!$A$77:$B$94,2,FALSE),"0")</f>
        <v>0</v>
      </c>
      <c r="BZ114">
        <f t="shared" ref="BZ114:BZ115" si="144">BX114*BY114</f>
        <v>0</v>
      </c>
      <c r="CC114">
        <f t="shared" si="142"/>
        <v>0</v>
      </c>
      <c r="CD114">
        <f t="shared" si="142"/>
        <v>0</v>
      </c>
      <c r="CE114" t="str">
        <f>IFERROR(VLOOKUP(CC114,EFid!$A$77:$B$94,2,FALSE),"0")</f>
        <v>0</v>
      </c>
      <c r="CF114">
        <f t="shared" ref="CF114:CF115" si="145">CD114*CE114</f>
        <v>0</v>
      </c>
      <c r="CI114">
        <f t="shared" si="143"/>
        <v>0</v>
      </c>
      <c r="CJ114">
        <f t="shared" si="143"/>
        <v>0</v>
      </c>
      <c r="CK114" t="str">
        <f>IFERROR(VLOOKUP(CI114,EFid!$A$77:$B$94,2,FALSE),"0")</f>
        <v>0</v>
      </c>
      <c r="CL114">
        <f t="shared" ref="CL114:CL115" si="146">CJ114*CK114</f>
        <v>0</v>
      </c>
    </row>
    <row r="115" spans="2:91" ht="15" thickBot="1">
      <c r="B115" s="58"/>
      <c r="C115" s="36" t="s">
        <v>750</v>
      </c>
      <c r="D115" s="36"/>
      <c r="E115" s="200">
        <v>2.8799999999999999E-2</v>
      </c>
      <c r="F115" t="s">
        <v>747</v>
      </c>
      <c r="G115" s="811">
        <f>E115</f>
        <v>2.8799999999999999E-2</v>
      </c>
      <c r="H115" s="811">
        <f>E115</f>
        <v>2.8799999999999999E-2</v>
      </c>
      <c r="AY115" s="354" t="s">
        <v>168</v>
      </c>
      <c r="AZ115" s="160" t="s">
        <v>19</v>
      </c>
      <c r="BA115" s="160">
        <f>SUM(BA116:BA125)</f>
        <v>0</v>
      </c>
      <c r="BB115" s="3"/>
      <c r="BC115" s="3"/>
      <c r="BD115" s="447">
        <f>SUM(BD116:BD125)</f>
        <v>0</v>
      </c>
      <c r="BH115" s="6">
        <v>0</v>
      </c>
      <c r="BI115">
        <v>0</v>
      </c>
      <c r="BJ115">
        <f>IFERROR(VLOOKUP(BH115,EFid!$A$415:$D$428,2,FALSE),0)</f>
        <v>0</v>
      </c>
      <c r="BL115" s="11">
        <f t="shared" si="133"/>
        <v>0</v>
      </c>
      <c r="BP115" s="6">
        <v>0</v>
      </c>
      <c r="BQ115">
        <v>0</v>
      </c>
      <c r="BR115">
        <f>IFERROR(VLOOKUP(BP115,EFid!$A$243:$D$250,2,FALSE),0)</f>
        <v>0</v>
      </c>
      <c r="BT115" s="11">
        <f t="shared" si="138"/>
        <v>0</v>
      </c>
      <c r="BW115">
        <f t="shared" si="141"/>
        <v>0</v>
      </c>
      <c r="BX115">
        <f t="shared" si="141"/>
        <v>0</v>
      </c>
      <c r="BY115" t="str">
        <f>IFERROR(VLOOKUP(BW115,EFid!$A$77:$B$94,2,FALSE),"0")</f>
        <v>0</v>
      </c>
      <c r="BZ115">
        <f t="shared" si="144"/>
        <v>0</v>
      </c>
      <c r="CC115">
        <f t="shared" si="142"/>
        <v>0</v>
      </c>
      <c r="CD115">
        <f t="shared" si="142"/>
        <v>0</v>
      </c>
      <c r="CE115" t="str">
        <f>IFERROR(VLOOKUP(CC115,EFid!$A$77:$B$94,2,FALSE),"0")</f>
        <v>0</v>
      </c>
      <c r="CF115">
        <f t="shared" si="145"/>
        <v>0</v>
      </c>
      <c r="CI115">
        <f t="shared" si="143"/>
        <v>0</v>
      </c>
      <c r="CJ115">
        <f t="shared" si="143"/>
        <v>0</v>
      </c>
      <c r="CK115" t="str">
        <f>IFERROR(VLOOKUP(CI115,EFid!$A$77:$B$94,2,FALSE),"0")</f>
        <v>0</v>
      </c>
      <c r="CL115">
        <f t="shared" si="146"/>
        <v>0</v>
      </c>
    </row>
    <row r="116" spans="2:91" ht="15" thickBot="1">
      <c r="B116" s="1341" t="s">
        <v>751</v>
      </c>
      <c r="C116" s="1341"/>
      <c r="D116" s="1341"/>
      <c r="E116" s="1341"/>
      <c r="AW116" s="1"/>
      <c r="AX116" s="1"/>
      <c r="AY116" s="20">
        <f>Taimekasvatus!D192</f>
        <v>0</v>
      </c>
      <c r="AZ116" t="s">
        <v>752</v>
      </c>
      <c r="BA116">
        <f>Taimekasvatus!E192</f>
        <v>0</v>
      </c>
      <c r="BB116">
        <f>IFERROR(VLOOKUP(AY116,EFid!$A$415:$B$428,2,FALSE),0)</f>
        <v>0</v>
      </c>
      <c r="BC116" t="s">
        <v>753</v>
      </c>
      <c r="BD116" s="21">
        <f>(IFERROR(BB116*BA116,0))</f>
        <v>0</v>
      </c>
      <c r="BH116" s="7">
        <v>0</v>
      </c>
      <c r="BI116" s="8">
        <v>0</v>
      </c>
      <c r="BJ116">
        <f>IFERROR(VLOOKUP(BH116,EFid!$A$415:$D$428,2,FALSE),0)</f>
        <v>0</v>
      </c>
      <c r="BK116" s="8"/>
      <c r="BL116" s="41">
        <f t="shared" si="133"/>
        <v>0</v>
      </c>
      <c r="BP116" s="7">
        <v>0</v>
      </c>
      <c r="BQ116" s="8">
        <v>0</v>
      </c>
      <c r="BR116" s="8">
        <f>IFERROR(VLOOKUP(BP116,EFid!$A$243:$D$250,2,FALSE),0)</f>
        <v>0</v>
      </c>
      <c r="BS116" s="8"/>
      <c r="BT116" s="41">
        <f t="shared" si="138"/>
        <v>0</v>
      </c>
    </row>
    <row r="117" spans="2:91">
      <c r="B117" s="372" t="s">
        <v>754</v>
      </c>
      <c r="C117" s="373"/>
      <c r="D117" s="373"/>
      <c r="E117" s="374"/>
      <c r="AY117" s="20">
        <f>Taimekasvatus!D193</f>
        <v>0</v>
      </c>
      <c r="AZ117" t="s">
        <v>752</v>
      </c>
      <c r="BA117">
        <f>Taimekasvatus!E193</f>
        <v>0</v>
      </c>
      <c r="BB117">
        <f>IFERROR(VLOOKUP(AY117,EFid!$A$415:$B$428,2,FALSE),0)</f>
        <v>0</v>
      </c>
      <c r="BC117" t="s">
        <v>753</v>
      </c>
      <c r="BD117" s="21">
        <f t="shared" ref="BD117:BD125" si="147">(IFERROR(BB117*BA117,0))</f>
        <v>0</v>
      </c>
      <c r="BH117" s="2" cm="1">
        <f t="array" ref="BH117:BH126">Loomakasvatus!C181:C190</f>
        <v>0</v>
      </c>
      <c r="BI117" s="3" cm="1">
        <f t="array" ref="BI117:BI126">Loomakasvatus!D181:D190</f>
        <v>0</v>
      </c>
      <c r="BJ117" s="3">
        <f>IFERROR(VLOOKUP(BH117,EFid!$A$415:$D$428,2,FALSE),0)</f>
        <v>0</v>
      </c>
      <c r="BK117" s="3"/>
      <c r="BL117" s="9">
        <f t="shared" si="133"/>
        <v>0</v>
      </c>
      <c r="BM117">
        <f>SUM(BL117:BL126)</f>
        <v>0</v>
      </c>
      <c r="BP117" s="2" cm="1">
        <f t="array" ref="BP117:BP125">Loomakasvatus!C385:C393</f>
        <v>0</v>
      </c>
      <c r="BQ117" s="3" cm="1">
        <f t="array" ref="BQ117:BQ125">Loomakasvatus!D385:D393</f>
        <v>0</v>
      </c>
      <c r="BR117" s="3">
        <f>IFERROR(VLOOKUP(BP117,EFid!$A$243:$D$250,2,FALSE),0)</f>
        <v>0</v>
      </c>
      <c r="BS117" s="3"/>
      <c r="BT117" s="9">
        <f t="shared" si="138"/>
        <v>0</v>
      </c>
      <c r="BU117">
        <f>SUM(BT117:BT125)</f>
        <v>0</v>
      </c>
      <c r="BW117" s="457"/>
      <c r="CC117" s="457"/>
      <c r="CI117" s="457"/>
    </row>
    <row r="118" spans="2:91">
      <c r="B118" s="375" t="s">
        <v>742</v>
      </c>
      <c r="C118" s="368" t="s">
        <v>743</v>
      </c>
      <c r="D118" s="368"/>
      <c r="E118" s="376" t="e">
        <f>E119*E120</f>
        <v>#REF!</v>
      </c>
      <c r="F118" t="s">
        <v>135</v>
      </c>
      <c r="AY118" s="20">
        <f>Taimekasvatus!D194</f>
        <v>0</v>
      </c>
      <c r="AZ118" t="s">
        <v>752</v>
      </c>
      <c r="BA118">
        <f>Taimekasvatus!E194</f>
        <v>0</v>
      </c>
      <c r="BB118">
        <f>IFERROR(VLOOKUP(AY118,EFid!$A$415:$B$428,2,FALSE),0)</f>
        <v>0</v>
      </c>
      <c r="BC118" t="s">
        <v>753</v>
      </c>
      <c r="BD118" s="21">
        <f t="shared" si="147"/>
        <v>0</v>
      </c>
      <c r="BH118" s="6">
        <v>0</v>
      </c>
      <c r="BI118">
        <v>0</v>
      </c>
      <c r="BJ118">
        <f>IFERROR(VLOOKUP(BH118,EFid!$A$415:$D$428,2,FALSE),0)</f>
        <v>0</v>
      </c>
      <c r="BL118" s="11">
        <f t="shared" si="133"/>
        <v>0</v>
      </c>
      <c r="BP118" s="6">
        <v>0</v>
      </c>
      <c r="BQ118">
        <v>0</v>
      </c>
      <c r="BR118">
        <f>IFERROR(VLOOKUP(BP118,EFid!$A$243:$D$250,2,FALSE),0)</f>
        <v>0</v>
      </c>
      <c r="BT118" s="11">
        <f t="shared" si="138"/>
        <v>0</v>
      </c>
    </row>
    <row r="119" spans="2:91">
      <c r="B119" s="377" t="s">
        <v>446</v>
      </c>
      <c r="C119" s="378" t="s">
        <v>755</v>
      </c>
      <c r="D119" s="368"/>
      <c r="E119" s="379" t="e">
        <f>Loomakasvatus!#REF!</f>
        <v>#REF!</v>
      </c>
      <c r="F119" t="s">
        <v>299</v>
      </c>
      <c r="AY119" s="20">
        <f>Taimekasvatus!D195</f>
        <v>0</v>
      </c>
      <c r="AZ119" t="s">
        <v>752</v>
      </c>
      <c r="BA119">
        <f>Taimekasvatus!E195</f>
        <v>0</v>
      </c>
      <c r="BB119">
        <f>IFERROR(VLOOKUP(AY119,EFid!$A$415:$B$428,2,FALSE),0)</f>
        <v>0</v>
      </c>
      <c r="BC119" t="s">
        <v>753</v>
      </c>
      <c r="BD119" s="21">
        <f t="shared" si="147"/>
        <v>0</v>
      </c>
      <c r="BH119" s="6">
        <v>0</v>
      </c>
      <c r="BI119">
        <v>0</v>
      </c>
      <c r="BJ119">
        <f>IFERROR(VLOOKUP(BH119,EFid!$A$415:$D$428,2,FALSE),0)</f>
        <v>0</v>
      </c>
      <c r="BL119" s="11">
        <f t="shared" si="133"/>
        <v>0</v>
      </c>
      <c r="BO119" t="s">
        <v>179</v>
      </c>
      <c r="BP119" s="6">
        <v>0</v>
      </c>
      <c r="BQ119">
        <v>0</v>
      </c>
      <c r="BR119">
        <f>IFERROR(VLOOKUP(BP119,EFid!$A$243:$D$250,2,FALSE),0)</f>
        <v>0</v>
      </c>
      <c r="BT119" s="11">
        <f t="shared" si="138"/>
        <v>0</v>
      </c>
    </row>
    <row r="120" spans="2:91" ht="15" thickBot="1">
      <c r="B120" s="380" t="s">
        <v>756</v>
      </c>
      <c r="C120" s="381" t="s">
        <v>757</v>
      </c>
      <c r="D120" s="381"/>
      <c r="E120" s="376"/>
      <c r="F120" t="s">
        <v>758</v>
      </c>
      <c r="AY120" s="20">
        <f>Taimekasvatus!D196</f>
        <v>0</v>
      </c>
      <c r="AZ120" t="s">
        <v>752</v>
      </c>
      <c r="BA120">
        <f>Taimekasvatus!E196</f>
        <v>0</v>
      </c>
      <c r="BB120">
        <f>IFERROR(VLOOKUP(AY120,EFid!$A$415:$B$428,2,FALSE),0)</f>
        <v>0</v>
      </c>
      <c r="BC120" t="s">
        <v>753</v>
      </c>
      <c r="BD120" s="21">
        <f t="shared" si="147"/>
        <v>0</v>
      </c>
      <c r="BG120" t="s">
        <v>180</v>
      </c>
      <c r="BH120" s="421">
        <v>0</v>
      </c>
      <c r="BI120">
        <v>0</v>
      </c>
      <c r="BJ120">
        <f>IFERROR(VLOOKUP(BH120,EFid!$A$415:$D$428,2,FALSE),0)</f>
        <v>0</v>
      </c>
      <c r="BL120" s="11">
        <f t="shared" si="133"/>
        <v>0</v>
      </c>
      <c r="BP120" s="6">
        <v>0</v>
      </c>
      <c r="BQ120">
        <v>0</v>
      </c>
      <c r="BR120">
        <f>IFERROR(VLOOKUP(BP120,EFid!$A$243:$D$250,2,FALSE),0)</f>
        <v>0</v>
      </c>
      <c r="BT120" s="11">
        <f t="shared" si="138"/>
        <v>0</v>
      </c>
      <c r="BW120" s="1" t="s">
        <v>179</v>
      </c>
      <c r="CC120" s="1" t="s">
        <v>182</v>
      </c>
      <c r="CI120" s="1" t="s">
        <v>181</v>
      </c>
    </row>
    <row r="121" spans="2:91" ht="15" thickBot="1">
      <c r="B121" s="1340" t="s">
        <v>759</v>
      </c>
      <c r="C121" s="1340"/>
      <c r="D121" s="1340"/>
      <c r="E121" s="1340"/>
      <c r="AW121" s="1"/>
      <c r="AX121" s="1"/>
      <c r="AY121" s="20">
        <f>Taimekasvatus!D197</f>
        <v>0</v>
      </c>
      <c r="AZ121" t="s">
        <v>752</v>
      </c>
      <c r="BA121">
        <f>Taimekasvatus!E197</f>
        <v>0</v>
      </c>
      <c r="BB121">
        <f>IFERROR(VLOOKUP(AY121,EFid!$A$415:$B$428,2,FALSE),0)</f>
        <v>0</v>
      </c>
      <c r="BC121" t="s">
        <v>753</v>
      </c>
      <c r="BD121" s="21">
        <f t="shared" si="147"/>
        <v>0</v>
      </c>
      <c r="BH121" s="421">
        <v>0</v>
      </c>
      <c r="BI121">
        <v>0</v>
      </c>
      <c r="BJ121">
        <f>IFERROR(VLOOKUP(BH121,EFid!$A$415:$D$428,2,FALSE),0)</f>
        <v>0</v>
      </c>
      <c r="BL121" s="11">
        <f t="shared" si="133"/>
        <v>0</v>
      </c>
      <c r="BP121" s="6">
        <v>0</v>
      </c>
      <c r="BQ121">
        <v>0</v>
      </c>
      <c r="BR121">
        <f>IFERROR(VLOOKUP(BP121,EFid!$A$243:$D$250,2,FALSE),0)</f>
        <v>0</v>
      </c>
      <c r="BT121" s="11">
        <f t="shared" si="138"/>
        <v>0</v>
      </c>
      <c r="BW121" s="457" t="s">
        <v>739</v>
      </c>
      <c r="CC121" s="457" t="s">
        <v>739</v>
      </c>
      <c r="CI121" s="457" t="s">
        <v>739</v>
      </c>
    </row>
    <row r="122" spans="2:91">
      <c r="B122" s="188" t="s">
        <v>760</v>
      </c>
      <c r="C122" s="189"/>
      <c r="D122" s="189"/>
      <c r="E122" s="190"/>
      <c r="AY122" s="20">
        <f>Taimekasvatus!D198</f>
        <v>0</v>
      </c>
      <c r="AZ122" t="s">
        <v>752</v>
      </c>
      <c r="BA122">
        <f>Taimekasvatus!E198</f>
        <v>0</v>
      </c>
      <c r="BB122">
        <f>IFERROR(VLOOKUP(AY122,EFid!$A$415:$B$428,2,FALSE),0)</f>
        <v>0</v>
      </c>
      <c r="BC122" t="s">
        <v>753</v>
      </c>
      <c r="BD122" s="21">
        <f t="shared" si="147"/>
        <v>0</v>
      </c>
      <c r="BH122" s="421">
        <v>0</v>
      </c>
      <c r="BI122">
        <v>0</v>
      </c>
      <c r="BJ122">
        <f>IFERROR(VLOOKUP(BH122,EFid!$A$415:$D$428,2,FALSE),0)</f>
        <v>0</v>
      </c>
      <c r="BL122" s="11">
        <f t="shared" si="133"/>
        <v>0</v>
      </c>
      <c r="BP122" s="6">
        <v>0</v>
      </c>
      <c r="BQ122">
        <v>0</v>
      </c>
      <c r="BR122">
        <f>IFERROR(VLOOKUP(BP122,EFid!$A$243:$D$250,2,FALSE),0)</f>
        <v>0</v>
      </c>
      <c r="BT122" s="11">
        <f t="shared" si="138"/>
        <v>0</v>
      </c>
      <c r="BW122">
        <f t="shared" ref="BW122:BX124" si="148">BI48</f>
        <v>0</v>
      </c>
      <c r="BX122">
        <f t="shared" si="148"/>
        <v>0</v>
      </c>
      <c r="BY122" t="str">
        <f>IFERROR(VLOOKUP(BW122,EFid!$A$101:$B$124,2,FALSE),"0")</f>
        <v>0</v>
      </c>
      <c r="BZ122">
        <f>BX122*BY122</f>
        <v>0</v>
      </c>
      <c r="CA122">
        <f>SUM(BZ122:BZ124)</f>
        <v>0</v>
      </c>
      <c r="CC122">
        <f>BX55</f>
        <v>0</v>
      </c>
      <c r="CD122">
        <f>BY55</f>
        <v>0</v>
      </c>
      <c r="CE122" t="str">
        <f>IFERROR(VLOOKUP(CC122,EFid!$A$101:$B$124,2,FALSE),"0")</f>
        <v>0</v>
      </c>
      <c r="CF122">
        <f>CD122*CE122</f>
        <v>0</v>
      </c>
      <c r="CG122">
        <f>SUM(CF122:CF124)</f>
        <v>0</v>
      </c>
      <c r="CI122">
        <f t="shared" ref="CI122:CJ124" si="149">BX3</f>
        <v>0</v>
      </c>
      <c r="CJ122">
        <f t="shared" si="149"/>
        <v>0</v>
      </c>
      <c r="CK122" t="str">
        <f>IFERROR(VLOOKUP(CI122,EFid!$A$101:$B$124,2,FALSE),"0")</f>
        <v>0</v>
      </c>
      <c r="CL122">
        <f>CJ122*CK122</f>
        <v>0</v>
      </c>
      <c r="CM122">
        <f>SUM(CL122:CL124)</f>
        <v>0</v>
      </c>
    </row>
    <row r="123" spans="2:91" ht="14.9" customHeight="1">
      <c r="B123" s="188" t="s">
        <v>761</v>
      </c>
      <c r="C123" s="189"/>
      <c r="D123" s="189"/>
      <c r="E123" s="190"/>
      <c r="AY123" s="20">
        <f>Taimekasvatus!D199</f>
        <v>0</v>
      </c>
      <c r="AZ123" t="s">
        <v>752</v>
      </c>
      <c r="BA123">
        <f>Taimekasvatus!E199</f>
        <v>0</v>
      </c>
      <c r="BB123">
        <f>IFERROR(VLOOKUP(AY123,EFid!$A$415:$B$428,2,FALSE),0)</f>
        <v>0</v>
      </c>
      <c r="BC123" t="s">
        <v>753</v>
      </c>
      <c r="BD123" s="21">
        <f t="shared" si="147"/>
        <v>0</v>
      </c>
      <c r="BH123" s="421">
        <v>0</v>
      </c>
      <c r="BI123">
        <v>0</v>
      </c>
      <c r="BJ123">
        <f>IFERROR(VLOOKUP(BH123,EFid!$A$415:$D$428,2,FALSE),0)</f>
        <v>0</v>
      </c>
      <c r="BL123" s="11">
        <f t="shared" si="133"/>
        <v>0</v>
      </c>
      <c r="BP123" s="6">
        <v>0</v>
      </c>
      <c r="BQ123">
        <v>0</v>
      </c>
      <c r="BR123">
        <f>IFERROR(VLOOKUP(BP123,EFid!$A$243:$D$250,2,FALSE),0)</f>
        <v>0</v>
      </c>
      <c r="BT123" s="11">
        <f t="shared" si="138"/>
        <v>0</v>
      </c>
      <c r="BW123">
        <f t="shared" si="148"/>
        <v>0</v>
      </c>
      <c r="BX123">
        <f t="shared" si="148"/>
        <v>0</v>
      </c>
      <c r="BY123" t="str">
        <f>IFERROR(VLOOKUP(BW123,EFid!$A$101:$B$124,2,FALSE),"0")</f>
        <v>0</v>
      </c>
      <c r="BZ123">
        <f t="shared" ref="BZ123:BZ124" si="150">BX123*BY123</f>
        <v>0</v>
      </c>
      <c r="CC123">
        <f t="shared" ref="CC123:CC124" si="151">BX56</f>
        <v>0</v>
      </c>
      <c r="CD123">
        <f t="shared" ref="CD123:CD124" si="152">BY56</f>
        <v>0</v>
      </c>
      <c r="CE123" t="str">
        <f>IFERROR(VLOOKUP(CC123,EFid!$A$101:$B$124,2,FALSE),"0")</f>
        <v>0</v>
      </c>
      <c r="CF123">
        <f t="shared" ref="CF123:CF124" si="153">CD123*CE123</f>
        <v>0</v>
      </c>
      <c r="CI123">
        <f t="shared" si="149"/>
        <v>0</v>
      </c>
      <c r="CJ123">
        <f t="shared" si="149"/>
        <v>0</v>
      </c>
      <c r="CK123" t="str">
        <f>IFERROR(VLOOKUP(CI123,EFid!$A$101:$B$124,2,FALSE),"0")</f>
        <v>0</v>
      </c>
      <c r="CL123">
        <f t="shared" ref="CL123:CL124" si="154">CJ123*CK123</f>
        <v>0</v>
      </c>
    </row>
    <row r="124" spans="2:91">
      <c r="B124" s="32" t="s">
        <v>762</v>
      </c>
      <c r="C124" s="33" t="s">
        <v>763</v>
      </c>
      <c r="D124" s="33"/>
      <c r="E124" s="938" t="e">
        <f>1-(E125/365*E126/24)</f>
        <v>#REF!</v>
      </c>
      <c r="G124" s="42">
        <f>1-(G125/365*G126/24)</f>
        <v>1</v>
      </c>
      <c r="H124" s="42">
        <f>1-(H125/365*H126/24)</f>
        <v>1</v>
      </c>
      <c r="AY124" s="20">
        <f>Taimekasvatus!D200</f>
        <v>0</v>
      </c>
      <c r="AZ124" t="s">
        <v>752</v>
      </c>
      <c r="BA124">
        <f>Taimekasvatus!E200</f>
        <v>0</v>
      </c>
      <c r="BB124">
        <f>IFERROR(VLOOKUP(AY124,EFid!$A$415:$B$428,2,FALSE),0)</f>
        <v>0</v>
      </c>
      <c r="BC124" t="s">
        <v>753</v>
      </c>
      <c r="BD124" s="21">
        <f t="shared" si="147"/>
        <v>0</v>
      </c>
      <c r="BH124" s="421">
        <v>0</v>
      </c>
      <c r="BI124">
        <v>0</v>
      </c>
      <c r="BJ124">
        <f>IFERROR(VLOOKUP(BH124,EFid!$A$415:$D$428,2,FALSE),0)</f>
        <v>0</v>
      </c>
      <c r="BL124" s="11">
        <f t="shared" si="133"/>
        <v>0</v>
      </c>
      <c r="BP124" s="6">
        <v>0</v>
      </c>
      <c r="BQ124">
        <v>0</v>
      </c>
      <c r="BR124">
        <f>IFERROR(VLOOKUP(BP124,EFid!$A$243:$D$250,2,FALSE),0)</f>
        <v>0</v>
      </c>
      <c r="BT124" s="11">
        <f t="shared" si="138"/>
        <v>0</v>
      </c>
      <c r="BW124">
        <f t="shared" si="148"/>
        <v>0</v>
      </c>
      <c r="BX124">
        <f t="shared" si="148"/>
        <v>0</v>
      </c>
      <c r="BY124" t="str">
        <f>IFERROR(VLOOKUP(BW124,EFid!$A$101:$B$124,2,FALSE),"0")</f>
        <v>0</v>
      </c>
      <c r="BZ124">
        <f t="shared" si="150"/>
        <v>0</v>
      </c>
      <c r="CC124">
        <f t="shared" si="151"/>
        <v>0</v>
      </c>
      <c r="CD124">
        <f t="shared" si="152"/>
        <v>0</v>
      </c>
      <c r="CE124" t="str">
        <f>IFERROR(VLOOKUP(CC124,EFid!$A$101:$B$124,2,FALSE),"0")</f>
        <v>0</v>
      </c>
      <c r="CF124">
        <f t="shared" si="153"/>
        <v>0</v>
      </c>
      <c r="CI124">
        <f t="shared" si="149"/>
        <v>0</v>
      </c>
      <c r="CJ124">
        <f t="shared" si="149"/>
        <v>0</v>
      </c>
      <c r="CK124" t="str">
        <f>IFERROR(VLOOKUP(CI124,EFid!$A$101:$B$124,2,FALSE),"0")</f>
        <v>0</v>
      </c>
      <c r="CL124">
        <f t="shared" si="154"/>
        <v>0</v>
      </c>
    </row>
    <row r="125" spans="2:91" ht="15" thickBot="1">
      <c r="B125" s="32" t="s">
        <v>764</v>
      </c>
      <c r="C125" s="33" t="s">
        <v>765</v>
      </c>
      <c r="D125" s="33"/>
      <c r="E125" s="933" t="e">
        <f>Loomakasvatus!#REF!</f>
        <v>#REF!</v>
      </c>
      <c r="G125" s="811" cm="1">
        <f t="array" ref="G125:H125">Loomakasvatus!C209:D209</f>
        <v>0</v>
      </c>
      <c r="H125" s="811">
        <v>0</v>
      </c>
      <c r="AY125" s="58">
        <f>Taimekasvatus!D201</f>
        <v>0</v>
      </c>
      <c r="AZ125" s="36" t="s">
        <v>752</v>
      </c>
      <c r="BA125" s="36">
        <f>Taimekasvatus!E201</f>
        <v>0</v>
      </c>
      <c r="BB125">
        <f>IFERROR(VLOOKUP(AY125,EFid!$A$415:$B$428,2,FALSE),0)</f>
        <v>0</v>
      </c>
      <c r="BC125" s="36" t="s">
        <v>753</v>
      </c>
      <c r="BD125" s="37">
        <f t="shared" si="147"/>
        <v>0</v>
      </c>
      <c r="BH125" s="421">
        <v>0</v>
      </c>
      <c r="BI125">
        <v>0</v>
      </c>
      <c r="BJ125">
        <f>IFERROR(VLOOKUP(BH125,EFid!$A$415:$D$428,2,FALSE),0)</f>
        <v>0</v>
      </c>
      <c r="BL125" s="11">
        <f t="shared" si="133"/>
        <v>0</v>
      </c>
      <c r="BP125" s="7">
        <v>0</v>
      </c>
      <c r="BQ125" s="8">
        <v>0</v>
      </c>
      <c r="BR125" s="8">
        <f>IFERROR(VLOOKUP(BP125,EFid!$A$243:$D$250,2,FALSE),0)</f>
        <v>0</v>
      </c>
      <c r="BS125" s="8"/>
      <c r="BT125" s="41">
        <f t="shared" si="138"/>
        <v>0</v>
      </c>
    </row>
    <row r="126" spans="2:91" ht="15" thickBot="1">
      <c r="B126" s="32" t="s">
        <v>766</v>
      </c>
      <c r="C126" s="33" t="s">
        <v>767</v>
      </c>
      <c r="D126" s="33"/>
      <c r="E126" s="933" t="e">
        <f>Loomakasvatus!#REF!</f>
        <v>#REF!</v>
      </c>
      <c r="G126" s="811" cm="1">
        <f t="array" ref="G126:H126">Loomakasvatus!C210:D210</f>
        <v>0</v>
      </c>
      <c r="H126" s="811">
        <v>0</v>
      </c>
      <c r="BH126" s="422">
        <v>0</v>
      </c>
      <c r="BI126" s="8">
        <v>0</v>
      </c>
      <c r="BJ126">
        <f>IFERROR(VLOOKUP(BH126,EFid!$A$415:$D$428,2,FALSE),0)</f>
        <v>0</v>
      </c>
      <c r="BK126" s="8"/>
      <c r="BL126" s="41">
        <f t="shared" si="133"/>
        <v>0</v>
      </c>
      <c r="BP126" s="2" cm="1">
        <f t="array" ref="BP126:BP134">Loomakasvatus!C193:C201</f>
        <v>0</v>
      </c>
      <c r="BQ126" s="3" cm="1">
        <f t="array" ref="BQ126:BQ134">Loomakasvatus!D193:D201</f>
        <v>0</v>
      </c>
      <c r="BR126" s="3">
        <f>IFERROR(VLOOKUP(BP126,EFid!$A$243:$D$250,2,FALSE),0)</f>
        <v>0</v>
      </c>
      <c r="BS126" s="3"/>
      <c r="BT126" s="9">
        <f t="shared" si="138"/>
        <v>0</v>
      </c>
      <c r="BU126">
        <f>SUM(BT126:BT134)</f>
        <v>0</v>
      </c>
      <c r="BW126" s="457" t="s">
        <v>455</v>
      </c>
      <c r="CC126" s="457" t="s">
        <v>455</v>
      </c>
      <c r="CI126" s="457" t="s">
        <v>455</v>
      </c>
    </row>
    <row r="127" spans="2:91">
      <c r="B127" s="188" t="s">
        <v>768</v>
      </c>
      <c r="C127" s="189"/>
      <c r="D127" s="189"/>
      <c r="E127" s="190"/>
      <c r="AY127" s="15" t="str">
        <f>Taimekasvatus!D204</f>
        <v>Jäätmeliik</v>
      </c>
      <c r="AZ127" s="16" t="str">
        <f>Taimekasvatus!E204</f>
        <v>Kogus (t)</v>
      </c>
      <c r="BA127" s="16" t="s">
        <v>516</v>
      </c>
      <c r="BB127" s="16" t="s">
        <v>514</v>
      </c>
      <c r="BC127" s="17" t="s">
        <v>15</v>
      </c>
      <c r="BH127" s="420" cm="1">
        <f t="array" ref="BH127:BH136">Loomakasvatus!C86:C95</f>
        <v>0</v>
      </c>
      <c r="BI127" s="3" cm="1">
        <f t="array" ref="BI127:BI136">Loomakasvatus!D86:D95</f>
        <v>0</v>
      </c>
      <c r="BJ127" s="3">
        <f>IFERROR(VLOOKUP(BH127,EFid!$A$415:$D$428,2,FALSE),0)</f>
        <v>0</v>
      </c>
      <c r="BK127" s="3"/>
      <c r="BL127" s="9">
        <f t="shared" si="133"/>
        <v>0</v>
      </c>
      <c r="BM127">
        <f>SUM(BL127:BL136)</f>
        <v>0</v>
      </c>
      <c r="BP127" s="6">
        <v>0</v>
      </c>
      <c r="BQ127">
        <v>0</v>
      </c>
      <c r="BR127">
        <f>IFERROR(VLOOKUP(BP127,EFid!$A$243:$D$250,2,FALSE),0)</f>
        <v>0</v>
      </c>
      <c r="BT127" s="11">
        <f t="shared" si="138"/>
        <v>0</v>
      </c>
      <c r="BW127">
        <f>BI51</f>
        <v>0</v>
      </c>
      <c r="BX127">
        <f>BJ51</f>
        <v>0</v>
      </c>
      <c r="BY127" t="str">
        <f>IFERROR(VLOOKUP(BW127,EFid!$A$77:$B$94,2,FALSE),"0")</f>
        <v>0</v>
      </c>
      <c r="BZ127">
        <f>BX127*BY127</f>
        <v>0</v>
      </c>
      <c r="CA127">
        <f>SUM(BZ127:BZ129)</f>
        <v>0</v>
      </c>
      <c r="CC127">
        <f>BX58</f>
        <v>0</v>
      </c>
      <c r="CD127">
        <f>BY58</f>
        <v>0</v>
      </c>
      <c r="CE127" t="str">
        <f>IFERROR(VLOOKUP(CC127,EFid!$A$77:$B$94,2,FALSE),"0")</f>
        <v>0</v>
      </c>
      <c r="CF127">
        <f>CD127*CE127</f>
        <v>0</v>
      </c>
      <c r="CG127">
        <f>SUM(CF127:CF129)</f>
        <v>0</v>
      </c>
      <c r="CI127">
        <f t="shared" ref="CI127:CJ129" si="155">BX7</f>
        <v>0</v>
      </c>
      <c r="CJ127">
        <f t="shared" si="155"/>
        <v>0</v>
      </c>
      <c r="CK127" t="str">
        <f>IFERROR(VLOOKUP(CI127,EFid!$A$77:$B$94,2,FALSE),"0")</f>
        <v>0</v>
      </c>
      <c r="CL127">
        <f>CJ127*CK127</f>
        <v>0</v>
      </c>
      <c r="CM127">
        <f>SUM(CL127:CL129)</f>
        <v>0</v>
      </c>
    </row>
    <row r="128" spans="2:91">
      <c r="B128" s="188" t="s">
        <v>769</v>
      </c>
      <c r="C128" s="189"/>
      <c r="D128" s="189"/>
      <c r="E128" s="190"/>
      <c r="AY128" s="20">
        <f>Taimekasvatus!D205</f>
        <v>0</v>
      </c>
      <c r="AZ128">
        <f>Taimekasvatus!E205</f>
        <v>0</v>
      </c>
      <c r="BA128">
        <f>IFERROR(VLOOKUP(Taimekasvatus!D205,EFid!A243:D250,2,FALSE),0)</f>
        <v>0</v>
      </c>
      <c r="BB128">
        <f>BA128*AZ128</f>
        <v>0</v>
      </c>
      <c r="BC128" s="445">
        <f>SUM(BB128:BB135)</f>
        <v>0</v>
      </c>
      <c r="BH128" s="421">
        <v>0</v>
      </c>
      <c r="BI128">
        <v>0</v>
      </c>
      <c r="BJ128">
        <f>IFERROR(VLOOKUP(BH128,EFid!$A$415:$D$428,2,FALSE),0)</f>
        <v>0</v>
      </c>
      <c r="BL128" s="11">
        <f t="shared" si="133"/>
        <v>0</v>
      </c>
      <c r="BP128" s="6">
        <v>0</v>
      </c>
      <c r="BQ128">
        <v>0</v>
      </c>
      <c r="BR128">
        <f>IFERROR(VLOOKUP(BP128,EFid!$A$243:$D$250,2,FALSE),0)</f>
        <v>0</v>
      </c>
      <c r="BT128" s="11">
        <f t="shared" si="138"/>
        <v>0</v>
      </c>
      <c r="BW128">
        <f t="shared" ref="BW128:BW129" si="156">BI52</f>
        <v>0</v>
      </c>
      <c r="BX128">
        <f t="shared" ref="BX128:BX129" si="157">BJ52</f>
        <v>0</v>
      </c>
      <c r="BY128" t="str">
        <f>IFERROR(VLOOKUP(BW128,EFid!$A$77:$B$94,2,FALSE),"0")</f>
        <v>0</v>
      </c>
      <c r="BZ128">
        <f t="shared" ref="BZ128:BZ129" si="158">BX128*BY128</f>
        <v>0</v>
      </c>
      <c r="CC128">
        <f t="shared" ref="CC128:CC129" si="159">BX59</f>
        <v>0</v>
      </c>
      <c r="CD128">
        <f t="shared" ref="CD128:CD129" si="160">BY59</f>
        <v>0</v>
      </c>
      <c r="CE128" t="str">
        <f>IFERROR(VLOOKUP(CC128,EFid!$A$77:$B$94,2,FALSE),"0")</f>
        <v>0</v>
      </c>
      <c r="CF128">
        <f t="shared" ref="CF128:CF129" si="161">CD128*CE128</f>
        <v>0</v>
      </c>
      <c r="CI128">
        <f t="shared" si="155"/>
        <v>0</v>
      </c>
      <c r="CJ128">
        <f t="shared" si="155"/>
        <v>0</v>
      </c>
      <c r="CK128" t="str">
        <f>IFERROR(VLOOKUP(CI128,EFid!$A$77:$B$94,2,FALSE),"0")</f>
        <v>0</v>
      </c>
      <c r="CL128">
        <f t="shared" ref="CL128:CL129" si="162">CJ128*CK128</f>
        <v>0</v>
      </c>
    </row>
    <row r="129" spans="2:90">
      <c r="B129" s="20" t="s">
        <v>770</v>
      </c>
      <c r="C129" t="s">
        <v>771</v>
      </c>
      <c r="E129" s="186">
        <f>SUM(G129:H129)</f>
        <v>0</v>
      </c>
      <c r="F129" t="s">
        <v>772</v>
      </c>
      <c r="G129" s="42">
        <f>G130*G131/100*G134</f>
        <v>0</v>
      </c>
      <c r="H129" s="42">
        <f>H130*H131/100*H134</f>
        <v>0</v>
      </c>
      <c r="AY129" s="20">
        <f>Taimekasvatus!D206</f>
        <v>0</v>
      </c>
      <c r="AZ129">
        <f>Taimekasvatus!E206</f>
        <v>0</v>
      </c>
      <c r="BA129">
        <f>IFERROR(VLOOKUP(Taimekasvatus!D206,EFid!A244:D251,2,FALSE),0)</f>
        <v>0</v>
      </c>
      <c r="BB129">
        <f t="shared" ref="BB129:BB135" si="163">BA129*AZ129</f>
        <v>0</v>
      </c>
      <c r="BC129" s="21"/>
      <c r="BH129" s="6">
        <v>0</v>
      </c>
      <c r="BI129">
        <v>0</v>
      </c>
      <c r="BJ129">
        <f>IFERROR(VLOOKUP(BH129,EFid!$A$415:$D$428,2,FALSE),0)</f>
        <v>0</v>
      </c>
      <c r="BL129" s="11">
        <f t="shared" si="133"/>
        <v>0</v>
      </c>
      <c r="BO129" t="s">
        <v>180</v>
      </c>
      <c r="BP129" s="6">
        <v>0</v>
      </c>
      <c r="BQ129">
        <v>0</v>
      </c>
      <c r="BR129">
        <f>IFERROR(VLOOKUP(BP129,EFid!$A$243:$D$250,2,FALSE),0)</f>
        <v>0</v>
      </c>
      <c r="BT129" s="11">
        <f t="shared" si="138"/>
        <v>0</v>
      </c>
      <c r="BW129">
        <f t="shared" si="156"/>
        <v>0</v>
      </c>
      <c r="BX129">
        <f t="shared" si="157"/>
        <v>0</v>
      </c>
      <c r="BY129" t="str">
        <f>IFERROR(VLOOKUP(BW129,EFid!$A$77:$B$94,2,FALSE),"0")</f>
        <v>0</v>
      </c>
      <c r="BZ129">
        <f t="shared" si="158"/>
        <v>0</v>
      </c>
      <c r="CC129">
        <f t="shared" si="159"/>
        <v>0</v>
      </c>
      <c r="CD129">
        <f t="shared" si="160"/>
        <v>0</v>
      </c>
      <c r="CE129" t="str">
        <f>IFERROR(VLOOKUP(CC129,EFid!$A$77:$B$94,2,FALSE),"0")</f>
        <v>0</v>
      </c>
      <c r="CF129">
        <f t="shared" si="161"/>
        <v>0</v>
      </c>
      <c r="CI129">
        <f t="shared" si="155"/>
        <v>0</v>
      </c>
      <c r="CJ129">
        <f t="shared" si="155"/>
        <v>0</v>
      </c>
      <c r="CK129" t="str">
        <f>IFERROR(VLOOKUP(CI129,EFid!$A$77:$B$94,2,FALSE),"0")</f>
        <v>0</v>
      </c>
      <c r="CL129">
        <f t="shared" si="162"/>
        <v>0</v>
      </c>
    </row>
    <row r="130" spans="2:90">
      <c r="B130" s="20" t="s">
        <v>742</v>
      </c>
      <c r="C130" t="s">
        <v>743</v>
      </c>
      <c r="E130" s="935" t="e">
        <f>E118</f>
        <v>#REF!</v>
      </c>
      <c r="F130" t="s">
        <v>135</v>
      </c>
      <c r="G130" s="811">
        <f>G110</f>
        <v>0</v>
      </c>
      <c r="H130" s="811">
        <f>H110</f>
        <v>0</v>
      </c>
      <c r="AY130" s="20">
        <f>Taimekasvatus!D207</f>
        <v>0</v>
      </c>
      <c r="AZ130">
        <f>Taimekasvatus!E207</f>
        <v>0</v>
      </c>
      <c r="BA130">
        <f>IFERROR(VLOOKUP(Taimekasvatus!D207,EFid!A245:D252,2,FALSE),0)</f>
        <v>0</v>
      </c>
      <c r="BB130">
        <f t="shared" si="163"/>
        <v>0</v>
      </c>
      <c r="BC130" s="21"/>
      <c r="BG130" t="s">
        <v>185</v>
      </c>
      <c r="BH130" s="6">
        <v>0</v>
      </c>
      <c r="BI130">
        <v>0</v>
      </c>
      <c r="BJ130">
        <f>IFERROR(VLOOKUP(BH130,EFid!$A$415:$D$428,2,FALSE),0)</f>
        <v>0</v>
      </c>
      <c r="BL130" s="11">
        <f t="shared" si="133"/>
        <v>0</v>
      </c>
      <c r="BP130" s="6">
        <v>0</v>
      </c>
      <c r="BQ130">
        <v>0</v>
      </c>
      <c r="BR130">
        <f>IFERROR(VLOOKUP(BP130,EFid!$A$243:$D$250,2,FALSE),0)</f>
        <v>0</v>
      </c>
      <c r="BT130" s="11">
        <f t="shared" si="138"/>
        <v>0</v>
      </c>
    </row>
    <row r="131" spans="2:90">
      <c r="B131" s="20" t="s">
        <v>773</v>
      </c>
      <c r="C131" t="s">
        <v>774</v>
      </c>
      <c r="E131" s="937" t="e">
        <f>VLOOKUP(Loomakasvatus!C207,'M1 - LK'!Y223:Z232, 2,FALSE)</f>
        <v>#N/A</v>
      </c>
      <c r="F131" t="s">
        <v>34</v>
      </c>
      <c r="G131" s="936">
        <f>IFERROR(VLOOKUP(Loomakasvatus!C207,'M1 - LK'!$Y$223:$Z$232,2,FALSE),0)</f>
        <v>0</v>
      </c>
      <c r="H131" s="936">
        <f>IFERROR(VLOOKUP(Loomakasvatus!D207,'M1 - LK'!$Y$223:$Z$232,2,FALSE),0)</f>
        <v>0</v>
      </c>
      <c r="AW131" s="122"/>
      <c r="AY131" s="20">
        <f>Taimekasvatus!D208</f>
        <v>0</v>
      </c>
      <c r="AZ131">
        <f>Taimekasvatus!E208</f>
        <v>0</v>
      </c>
      <c r="BA131">
        <f>IFERROR(VLOOKUP(Taimekasvatus!D208,EFid!A246:D253,2,FALSE),0)</f>
        <v>0</v>
      </c>
      <c r="BB131">
        <f t="shared" si="163"/>
        <v>0</v>
      </c>
      <c r="BC131" s="21"/>
      <c r="BH131" s="6">
        <v>0</v>
      </c>
      <c r="BI131">
        <v>0</v>
      </c>
      <c r="BJ131">
        <f>IFERROR(VLOOKUP(BH131,EFid!$A$415:$D$428,2,FALSE),0)</f>
        <v>0</v>
      </c>
      <c r="BL131" s="11">
        <f t="shared" si="133"/>
        <v>0</v>
      </c>
      <c r="BP131" s="6">
        <v>0</v>
      </c>
      <c r="BQ131">
        <v>0</v>
      </c>
      <c r="BR131">
        <f>IFERROR(VLOOKUP(BP131,EFid!$A$243:$D$250,2,FALSE),0)</f>
        <v>0</v>
      </c>
      <c r="BT131" s="11">
        <f t="shared" si="138"/>
        <v>0</v>
      </c>
      <c r="BW131" s="457"/>
      <c r="CC131" s="457"/>
      <c r="CI131" s="457"/>
    </row>
    <row r="132" spans="2:90">
      <c r="B132" s="20" t="s">
        <v>775</v>
      </c>
      <c r="C132" t="s">
        <v>776</v>
      </c>
      <c r="E132" s="937" t="e">
        <f>VLOOKUP(Loomakasvatus!D207,'M1 - LK'!Y235:Z237, 2,FALSE)</f>
        <v>#N/A</v>
      </c>
      <c r="F132" t="s">
        <v>34</v>
      </c>
      <c r="AW132" s="122"/>
      <c r="AY132" s="20">
        <f>Taimekasvatus!D209</f>
        <v>0</v>
      </c>
      <c r="AZ132">
        <f>Taimekasvatus!E209</f>
        <v>0</v>
      </c>
      <c r="BA132">
        <f>IFERROR(VLOOKUP(Taimekasvatus!D209,EFid!A247:D254,2,FALSE),0)</f>
        <v>0</v>
      </c>
      <c r="BB132">
        <f t="shared" si="163"/>
        <v>0</v>
      </c>
      <c r="BC132" s="21"/>
      <c r="BH132" s="6">
        <v>0</v>
      </c>
      <c r="BI132">
        <v>0</v>
      </c>
      <c r="BJ132">
        <f>IFERROR(VLOOKUP(BH132,EFid!$A$415:$D$428,2,FALSE),0)</f>
        <v>0</v>
      </c>
      <c r="BL132" s="11">
        <f t="shared" si="133"/>
        <v>0</v>
      </c>
      <c r="BP132" s="6">
        <v>0</v>
      </c>
      <c r="BQ132">
        <v>0</v>
      </c>
      <c r="BR132">
        <f>IFERROR(VLOOKUP(BP132,EFid!$A$243:$D$250,2,FALSE),0)</f>
        <v>0</v>
      </c>
      <c r="BT132" s="11">
        <f t="shared" si="138"/>
        <v>0</v>
      </c>
    </row>
    <row r="133" spans="2:90">
      <c r="B133" s="20" t="s">
        <v>777</v>
      </c>
      <c r="C133" t="s">
        <v>777</v>
      </c>
      <c r="E133" s="937" t="e">
        <f>AVERAGE(E131:E132)</f>
        <v>#N/A</v>
      </c>
      <c r="F133" t="s">
        <v>34</v>
      </c>
      <c r="AW133" s="122"/>
      <c r="AY133" s="20">
        <f>Taimekasvatus!D210</f>
        <v>0</v>
      </c>
      <c r="AZ133">
        <f>Taimekasvatus!E210</f>
        <v>0</v>
      </c>
      <c r="BA133">
        <f>IFERROR(VLOOKUP(Taimekasvatus!D210,EFid!A248:D255,2,FALSE),0)</f>
        <v>0</v>
      </c>
      <c r="BB133">
        <f t="shared" si="163"/>
        <v>0</v>
      </c>
      <c r="BC133" s="21"/>
      <c r="BH133" s="6">
        <v>0</v>
      </c>
      <c r="BI133">
        <v>0</v>
      </c>
      <c r="BJ133">
        <f>IFERROR(VLOOKUP(BH133,EFid!$A$415:$D$428,2,FALSE),0)</f>
        <v>0</v>
      </c>
      <c r="BL133" s="11">
        <f t="shared" si="133"/>
        <v>0</v>
      </c>
      <c r="BP133" s="6">
        <v>0</v>
      </c>
      <c r="BQ133">
        <v>0</v>
      </c>
      <c r="BR133">
        <f>IFERROR(VLOOKUP(BP133,EFid!$A$243:$D$250,2,FALSE),0)</f>
        <v>0</v>
      </c>
      <c r="BT133" s="11">
        <f t="shared" si="138"/>
        <v>0</v>
      </c>
    </row>
    <row r="134" spans="2:90">
      <c r="B134" s="344" t="s">
        <v>762</v>
      </c>
      <c r="C134" t="s">
        <v>763</v>
      </c>
      <c r="E134" s="935" t="e">
        <f>E124</f>
        <v>#REF!</v>
      </c>
      <c r="G134" s="811">
        <f>G124</f>
        <v>1</v>
      </c>
      <c r="H134" s="811">
        <f>H124</f>
        <v>1</v>
      </c>
      <c r="AW134" s="112"/>
      <c r="AY134" s="20">
        <f>Taimekasvatus!D211</f>
        <v>0</v>
      </c>
      <c r="AZ134">
        <f>Taimekasvatus!E211</f>
        <v>0</v>
      </c>
      <c r="BA134">
        <f>IFERROR(VLOOKUP(Taimekasvatus!D211,EFid!A249:D256,2,FALSE),0)</f>
        <v>0</v>
      </c>
      <c r="BB134">
        <f t="shared" si="163"/>
        <v>0</v>
      </c>
      <c r="BC134" s="21"/>
      <c r="BH134" s="6">
        <v>0</v>
      </c>
      <c r="BI134">
        <v>0</v>
      </c>
      <c r="BJ134">
        <f>IFERROR(VLOOKUP(BH134,EFid!$A$415:$D$428,2,FALSE),0)</f>
        <v>0</v>
      </c>
      <c r="BL134" s="11">
        <f t="shared" si="133"/>
        <v>0</v>
      </c>
      <c r="BP134" s="7">
        <v>0</v>
      </c>
      <c r="BQ134" s="8">
        <v>0</v>
      </c>
      <c r="BR134" s="8">
        <f>IFERROR(VLOOKUP(BP134,EFid!$A$243:$D$250,2,FALSE),0)</f>
        <v>0</v>
      </c>
      <c r="BS134" s="8"/>
      <c r="BT134" s="41">
        <f t="shared" si="138"/>
        <v>0</v>
      </c>
      <c r="CC134" s="1" t="s">
        <v>185</v>
      </c>
    </row>
    <row r="135" spans="2:90" ht="15" thickBot="1">
      <c r="B135" s="188" t="s">
        <v>778</v>
      </c>
      <c r="C135" s="189"/>
      <c r="D135" s="189"/>
      <c r="E135" s="190"/>
      <c r="AW135" s="112"/>
      <c r="AY135" s="58"/>
      <c r="AZ135" s="36"/>
      <c r="BA135" s="36">
        <f>IFERROR(VLOOKUP(Taimekasvatus!#REF!,EFid!A250:D257,2,FALSE),0)</f>
        <v>0</v>
      </c>
      <c r="BB135" s="36">
        <f t="shared" si="163"/>
        <v>0</v>
      </c>
      <c r="BC135" s="37"/>
      <c r="BH135" s="6">
        <v>0</v>
      </c>
      <c r="BI135">
        <v>0</v>
      </c>
      <c r="BJ135">
        <f>IFERROR(VLOOKUP(BH135,EFid!$A$415:$D$428,2,FALSE),0)</f>
        <v>0</v>
      </c>
      <c r="BL135" s="11">
        <f t="shared" si="133"/>
        <v>0</v>
      </c>
      <c r="BP135" s="2" cm="1">
        <f t="array" ref="BP135:BP143">Loomakasvatus!C98:C106</f>
        <v>0</v>
      </c>
      <c r="BQ135" s="3" cm="1">
        <f t="array" ref="BQ135:BQ143">Loomakasvatus!D98:D106</f>
        <v>0</v>
      </c>
      <c r="BR135" s="3">
        <f>IFERROR(VLOOKUP(BP135,EFid!$A$243:$D$250,2,FALSE),0)</f>
        <v>0</v>
      </c>
      <c r="BS135" s="3"/>
      <c r="BT135" s="9">
        <f t="shared" si="138"/>
        <v>0</v>
      </c>
      <c r="BU135">
        <f>SUM(BT135:BT143)</f>
        <v>0</v>
      </c>
      <c r="CC135" s="457" t="s">
        <v>739</v>
      </c>
    </row>
    <row r="136" spans="2:90" ht="15" thickBot="1">
      <c r="B136" s="188" t="s">
        <v>779</v>
      </c>
      <c r="C136" s="189"/>
      <c r="D136" s="189"/>
      <c r="E136" s="190"/>
      <c r="BH136" s="7">
        <v>0</v>
      </c>
      <c r="BI136" s="8">
        <v>0</v>
      </c>
      <c r="BJ136">
        <f>IFERROR(VLOOKUP(BH136,EFid!$A$415:$D$428,2,FALSE),0)</f>
        <v>0</v>
      </c>
      <c r="BK136" s="8"/>
      <c r="BL136" s="41">
        <f t="shared" si="133"/>
        <v>0</v>
      </c>
      <c r="BP136" s="6">
        <v>0</v>
      </c>
      <c r="BQ136">
        <v>0</v>
      </c>
      <c r="BR136">
        <f>IFERROR(VLOOKUP(BP136,EFid!$A$243:$D$250,2,FALSE),0)</f>
        <v>0</v>
      </c>
      <c r="BT136" s="11">
        <f t="shared" si="138"/>
        <v>0</v>
      </c>
      <c r="CC136">
        <f>BQ58</f>
        <v>0</v>
      </c>
      <c r="CD136">
        <f>BR58</f>
        <v>0</v>
      </c>
      <c r="CE136" t="str">
        <f>IFERROR(VLOOKUP(CC136,EFid!$A$101:$B$124,2,FALSE),"0")</f>
        <v>0</v>
      </c>
      <c r="CF136">
        <f>CD136*CE136</f>
        <v>0</v>
      </c>
      <c r="CG136">
        <f>SUM(CF136:CF138)</f>
        <v>0</v>
      </c>
    </row>
    <row r="137" spans="2:90">
      <c r="B137" s="20" t="s">
        <v>780</v>
      </c>
      <c r="C137" t="s">
        <v>781</v>
      </c>
      <c r="E137" s="186">
        <f>SUM(G137:H137)</f>
        <v>0</v>
      </c>
      <c r="F137" t="s">
        <v>772</v>
      </c>
      <c r="G137" s="42">
        <f>G138*G139*G140</f>
        <v>0</v>
      </c>
      <c r="H137" s="42">
        <f>H138*H139*H140</f>
        <v>0</v>
      </c>
      <c r="AY137" s="15" t="s">
        <v>444</v>
      </c>
      <c r="AZ137" s="16"/>
      <c r="BA137" s="16"/>
      <c r="BB137" s="16"/>
      <c r="BC137" s="17"/>
      <c r="BH137" s="2" cm="1">
        <f t="array" ref="BH137:BH146">Loomakasvatus!C462:C471</f>
        <v>0</v>
      </c>
      <c r="BI137" s="3" cm="1">
        <f t="array" ref="BI137:BI146">Loomakasvatus!D462:D471</f>
        <v>0</v>
      </c>
      <c r="BJ137" s="3">
        <f>IFERROR(VLOOKUP(BH137,EFid!$A$415:$D$428,2,FALSE),0)</f>
        <v>0</v>
      </c>
      <c r="BK137" s="3"/>
      <c r="BL137" s="9">
        <f t="shared" si="133"/>
        <v>0</v>
      </c>
      <c r="BM137">
        <f>SUM(BL137:BL146)</f>
        <v>0</v>
      </c>
      <c r="BO137" t="s">
        <v>185</v>
      </c>
      <c r="BP137" s="6">
        <v>0</v>
      </c>
      <c r="BQ137">
        <v>0</v>
      </c>
      <c r="BR137">
        <f>IFERROR(VLOOKUP(BP137,EFid!$A$243:$D$250,2,FALSE),0)</f>
        <v>0</v>
      </c>
      <c r="BT137" s="11">
        <f t="shared" si="138"/>
        <v>0</v>
      </c>
      <c r="CC137">
        <f t="shared" ref="CC137:CC138" si="164">BQ59</f>
        <v>0</v>
      </c>
      <c r="CD137">
        <f t="shared" ref="CD137:CD138" si="165">BR59</f>
        <v>0</v>
      </c>
      <c r="CE137" t="str">
        <f>IFERROR(VLOOKUP(CC137,EFid!$A$101:$B$124,2,FALSE),"0")</f>
        <v>0</v>
      </c>
      <c r="CF137">
        <f t="shared" ref="CF137:CF138" si="166">CD137*CE137</f>
        <v>0</v>
      </c>
    </row>
    <row r="138" spans="2:90">
      <c r="B138" s="85" t="s">
        <v>446</v>
      </c>
      <c r="C138" t="s">
        <v>782</v>
      </c>
      <c r="E138" s="878">
        <f>SUM(_xlfn.ANCHORARRAY(G138))</f>
        <v>0</v>
      </c>
      <c r="F138" t="s">
        <v>299</v>
      </c>
      <c r="G138" s="811" cm="1">
        <f t="array" ref="G138:H138">Loomakasvatus!C208:D208</f>
        <v>0</v>
      </c>
      <c r="H138" s="811">
        <v>0</v>
      </c>
      <c r="AY138" s="20"/>
      <c r="BC138" s="21"/>
      <c r="BH138" s="6">
        <v>0</v>
      </c>
      <c r="BI138">
        <v>0</v>
      </c>
      <c r="BJ138">
        <f>IFERROR(VLOOKUP(BH138,EFid!$A$415:$D$428,2,FALSE),0)</f>
        <v>0</v>
      </c>
      <c r="BL138" s="11">
        <f t="shared" si="133"/>
        <v>0</v>
      </c>
      <c r="BP138" s="6">
        <v>0</v>
      </c>
      <c r="BQ138">
        <v>0</v>
      </c>
      <c r="BR138">
        <f>IFERROR(VLOOKUP(BP138,EFid!$A$243:$D$250,2,FALSE),0)</f>
        <v>0</v>
      </c>
      <c r="BT138" s="11">
        <f t="shared" si="138"/>
        <v>0</v>
      </c>
      <c r="CC138">
        <f t="shared" si="164"/>
        <v>0</v>
      </c>
      <c r="CD138">
        <f t="shared" si="165"/>
        <v>0</v>
      </c>
      <c r="CE138" t="str">
        <f>IFERROR(VLOOKUP(CC138,EFid!$A$101:$B$124,2,FALSE),"0")</f>
        <v>0</v>
      </c>
      <c r="CF138">
        <f t="shared" si="166"/>
        <v>0</v>
      </c>
    </row>
    <row r="139" spans="2:90">
      <c r="B139" s="85" t="s">
        <v>783</v>
      </c>
      <c r="C139" t="s">
        <v>784</v>
      </c>
      <c r="E139" s="935">
        <v>0</v>
      </c>
      <c r="F139" t="s">
        <v>758</v>
      </c>
      <c r="G139" s="811">
        <f>'M1 - LK'!M270</f>
        <v>7.8E-2</v>
      </c>
      <c r="H139" s="811">
        <f>'M1 - LK'!M270</f>
        <v>7.8E-2</v>
      </c>
      <c r="AW139" s="1"/>
      <c r="AY139" s="20" t="s">
        <v>785</v>
      </c>
      <c r="AZ139" t="s">
        <v>108</v>
      </c>
      <c r="BA139" t="s">
        <v>516</v>
      </c>
      <c r="BB139" t="s">
        <v>524</v>
      </c>
      <c r="BC139" s="21"/>
      <c r="BG139" t="s">
        <v>181</v>
      </c>
      <c r="BH139" s="6">
        <v>0</v>
      </c>
      <c r="BI139">
        <v>0</v>
      </c>
      <c r="BJ139">
        <f>IFERROR(VLOOKUP(BH139,EFid!$A$415:$D$428,2,FALSE),0)</f>
        <v>0</v>
      </c>
      <c r="BL139" s="11">
        <f t="shared" si="133"/>
        <v>0</v>
      </c>
      <c r="BP139" s="6">
        <v>0</v>
      </c>
      <c r="BQ139">
        <v>0</v>
      </c>
      <c r="BR139">
        <f>IFERROR(VLOOKUP(BP139,EFid!$A$243:$D$250,2,FALSE),0)</f>
        <v>0</v>
      </c>
      <c r="BT139" s="11">
        <f t="shared" si="138"/>
        <v>0</v>
      </c>
    </row>
    <row r="140" spans="2:90" ht="15" thickBot="1">
      <c r="B140" s="58" t="s">
        <v>762</v>
      </c>
      <c r="C140" s="36" t="s">
        <v>763</v>
      </c>
      <c r="D140" s="36"/>
      <c r="E140" s="939">
        <f>E123</f>
        <v>0</v>
      </c>
      <c r="G140" s="811">
        <f>G124</f>
        <v>1</v>
      </c>
      <c r="H140" s="811">
        <f>H124</f>
        <v>1</v>
      </c>
      <c r="AY140" s="20" cm="1">
        <f t="array" ref="AY140:AY143">Taimekasvatus!E156:E159</f>
        <v>0</v>
      </c>
      <c r="AZ140" cm="1">
        <f t="array" ref="AZ140:AZ143">Taimekasvatus!F156:F159</f>
        <v>0</v>
      </c>
      <c r="BA140">
        <f>IFERROR(VLOOKUP(AY140,EFid!$A$101:$B$124,2,FALSE),0)</f>
        <v>0</v>
      </c>
      <c r="BB140">
        <f>AZ140*BA140</f>
        <v>0</v>
      </c>
      <c r="BC140" s="445">
        <f>SUM(BB140:BB143)</f>
        <v>0</v>
      </c>
      <c r="BH140" s="6">
        <v>0</v>
      </c>
      <c r="BI140">
        <v>0</v>
      </c>
      <c r="BJ140">
        <f>IFERROR(VLOOKUP(BH140,EFid!$A$415:$D$428,2,FALSE),0)</f>
        <v>0</v>
      </c>
      <c r="BL140" s="11">
        <f t="shared" si="133"/>
        <v>0</v>
      </c>
      <c r="BP140" s="6">
        <v>0</v>
      </c>
      <c r="BQ140">
        <v>0</v>
      </c>
      <c r="BR140">
        <f>IFERROR(VLOOKUP(BP140,EFid!$A$243:$D$250,2,FALSE),0)</f>
        <v>0</v>
      </c>
      <c r="BT140" s="11">
        <f t="shared" si="138"/>
        <v>0</v>
      </c>
      <c r="CC140" s="457" t="s">
        <v>455</v>
      </c>
    </row>
    <row r="141" spans="2:90" ht="15" thickBot="1">
      <c r="B141" s="1340" t="s">
        <v>786</v>
      </c>
      <c r="C141" s="1340"/>
      <c r="D141" s="1340"/>
      <c r="E141" s="1340"/>
      <c r="AY141" s="20">
        <v>0</v>
      </c>
      <c r="AZ141">
        <v>0</v>
      </c>
      <c r="BA141">
        <f>IFERROR(VLOOKUP(AY141,EFid!$A$101:$B$124,2,FALSE),0)</f>
        <v>0</v>
      </c>
      <c r="BB141">
        <f t="shared" ref="BB141:BB143" si="167">AZ141*BA141</f>
        <v>0</v>
      </c>
      <c r="BC141" s="21"/>
      <c r="BH141" s="6">
        <v>0</v>
      </c>
      <c r="BI141">
        <v>0</v>
      </c>
      <c r="BJ141">
        <f>IFERROR(VLOOKUP(BH141,EFid!$A$415:$D$428,2,FALSE),0)</f>
        <v>0</v>
      </c>
      <c r="BL141" s="11">
        <f t="shared" si="133"/>
        <v>0</v>
      </c>
      <c r="BP141" s="6">
        <v>0</v>
      </c>
      <c r="BQ141">
        <v>0</v>
      </c>
      <c r="BR141">
        <f>IFERROR(VLOOKUP(BP141,EFid!$A$243:$D$250,2,FALSE),0)</f>
        <v>0</v>
      </c>
      <c r="BT141" s="11">
        <f t="shared" si="138"/>
        <v>0</v>
      </c>
      <c r="CC141">
        <f>BQ61</f>
        <v>0</v>
      </c>
      <c r="CD141">
        <f>BR61</f>
        <v>0</v>
      </c>
      <c r="CE141" t="str">
        <f>IFERROR(VLOOKUP(CC141,EFid!$A$77:$B$94,2,FALSE),"0")</f>
        <v>0</v>
      </c>
      <c r="CF141">
        <f>CD141*CE141</f>
        <v>0</v>
      </c>
      <c r="CG141">
        <f>SUM(CF141:CF143)</f>
        <v>0</v>
      </c>
    </row>
    <row r="142" spans="2:90">
      <c r="B142" s="199" t="s">
        <v>787</v>
      </c>
      <c r="C142" s="191"/>
      <c r="D142" s="191"/>
      <c r="E142" s="192"/>
      <c r="AY142" s="20">
        <v>0</v>
      </c>
      <c r="AZ142">
        <v>0</v>
      </c>
      <c r="BA142">
        <f>IFERROR(VLOOKUP(AY142,EFid!$A$101:$B$124,2,FALSE),0)</f>
        <v>0</v>
      </c>
      <c r="BB142">
        <f t="shared" si="167"/>
        <v>0</v>
      </c>
      <c r="BC142" s="21"/>
      <c r="BH142" s="6">
        <v>0</v>
      </c>
      <c r="BI142">
        <v>0</v>
      </c>
      <c r="BJ142">
        <f>IFERROR(VLOOKUP(BH142,EFid!$A$415:$D$428,2,FALSE),0)</f>
        <v>0</v>
      </c>
      <c r="BL142" s="11">
        <f t="shared" si="133"/>
        <v>0</v>
      </c>
      <c r="BP142" s="6">
        <v>0</v>
      </c>
      <c r="BQ142">
        <v>0</v>
      </c>
      <c r="BR142">
        <f>IFERROR(VLOOKUP(BP142,EFid!$A$243:$D$250,2,FALSE),0)</f>
        <v>0</v>
      </c>
      <c r="BT142" s="11">
        <f t="shared" si="138"/>
        <v>0</v>
      </c>
      <c r="CC142">
        <f>BQ62</f>
        <v>0</v>
      </c>
      <c r="CD142">
        <f t="shared" ref="CD142:CD143" si="168">BR62</f>
        <v>0</v>
      </c>
      <c r="CE142" t="str">
        <f>IFERROR(VLOOKUP(CC142,EFid!$A$77:$B$94,2,FALSE),"0")</f>
        <v>0</v>
      </c>
      <c r="CF142">
        <f t="shared" ref="CF142:CF143" si="169">CD142*CE142</f>
        <v>0</v>
      </c>
    </row>
    <row r="143" spans="2:90">
      <c r="B143" s="188" t="s">
        <v>788</v>
      </c>
      <c r="C143" s="189"/>
      <c r="D143" s="189"/>
      <c r="E143" s="190"/>
      <c r="AY143" s="20">
        <v>0</v>
      </c>
      <c r="AZ143">
        <v>0</v>
      </c>
      <c r="BA143">
        <f>IFERROR(VLOOKUP(AY143,EFid!$A$101:$B$124,2,FALSE),0)</f>
        <v>0</v>
      </c>
      <c r="BB143">
        <f t="shared" si="167"/>
        <v>0</v>
      </c>
      <c r="BC143" s="21"/>
      <c r="BH143" s="6">
        <v>0</v>
      </c>
      <c r="BI143">
        <v>0</v>
      </c>
      <c r="BJ143">
        <f>IFERROR(VLOOKUP(BH143,EFid!$A$415:$D$428,2,FALSE),0)</f>
        <v>0</v>
      </c>
      <c r="BL143" s="11">
        <f t="shared" si="133"/>
        <v>0</v>
      </c>
      <c r="BP143" s="7">
        <v>0</v>
      </c>
      <c r="BQ143" s="8">
        <v>0</v>
      </c>
      <c r="BR143" s="8">
        <f>IFERROR(VLOOKUP(BP143,EFid!$A$243:$D$250,2,FALSE),0)</f>
        <v>0</v>
      </c>
      <c r="BS143" s="8"/>
      <c r="BT143" s="41">
        <f t="shared" si="138"/>
        <v>0</v>
      </c>
      <c r="CC143">
        <f>BQ63</f>
        <v>0</v>
      </c>
      <c r="CD143">
        <f t="shared" si="168"/>
        <v>0</v>
      </c>
      <c r="CE143" t="str">
        <f>IFERROR(VLOOKUP(CC143,EFid!$A$77:$B$94,2,FALSE),"0")</f>
        <v>0</v>
      </c>
      <c r="CF143">
        <f t="shared" si="169"/>
        <v>0</v>
      </c>
    </row>
    <row r="144" spans="2:90">
      <c r="B144" s="20" t="s">
        <v>789</v>
      </c>
      <c r="C144" t="s">
        <v>790</v>
      </c>
      <c r="E144" s="187">
        <f>SUM(G144:H144)</f>
        <v>0</v>
      </c>
      <c r="F144" t="s">
        <v>772</v>
      </c>
      <c r="G144" s="42">
        <f>(G145*G146-G147/1.214)*G148/100</f>
        <v>0</v>
      </c>
      <c r="H144" s="42">
        <f>(H145*H146-H147/1.214)*H148/100</f>
        <v>0</v>
      </c>
      <c r="AY144" s="20">
        <f t="shared" ref="AY144:AZ147" si="170">AZ3</f>
        <v>0</v>
      </c>
      <c r="AZ144">
        <f t="shared" si="170"/>
        <v>0</v>
      </c>
      <c r="BA144" t="str">
        <f>IFERROR(VLOOKUP(AY144,EFid!$A$77:$C$94,2,FALSE),"0")</f>
        <v>0</v>
      </c>
      <c r="BB144">
        <f>AZ144*BA144</f>
        <v>0</v>
      </c>
      <c r="BC144" s="445">
        <f>SUM(BB144:BB147)</f>
        <v>0</v>
      </c>
      <c r="BH144" s="6">
        <v>0</v>
      </c>
      <c r="BI144">
        <v>0</v>
      </c>
      <c r="BJ144">
        <f>IFERROR(VLOOKUP(BH144,EFid!$A$415:$D$428,2,FALSE),0)</f>
        <v>0</v>
      </c>
      <c r="BL144" s="11">
        <f t="shared" si="133"/>
        <v>0</v>
      </c>
      <c r="BP144" s="2" cm="1">
        <f t="array" ref="BP144:BP152">Loomakasvatus!C474:C482</f>
        <v>0</v>
      </c>
      <c r="BQ144" s="3" cm="1">
        <f t="array" ref="BQ144:BQ152">Loomakasvatus!D474:D482</f>
        <v>0</v>
      </c>
      <c r="BR144" s="3">
        <f>IFERROR(VLOOKUP(BP144,EFid!$A$243:$D$250,2,FALSE),0)</f>
        <v>0</v>
      </c>
      <c r="BS144" s="3"/>
      <c r="BT144" s="9">
        <f t="shared" si="138"/>
        <v>0</v>
      </c>
      <c r="BU144">
        <f>SUM(BT144:BT152)</f>
        <v>0</v>
      </c>
    </row>
    <row r="145" spans="2:81">
      <c r="B145" s="20" t="s">
        <v>742</v>
      </c>
      <c r="C145" t="s">
        <v>743</v>
      </c>
      <c r="E145" s="938" t="e">
        <f>E118</f>
        <v>#REF!</v>
      </c>
      <c r="F145" t="s">
        <v>135</v>
      </c>
      <c r="G145" s="811">
        <f>G110</f>
        <v>0</v>
      </c>
      <c r="H145" s="811">
        <f>H110</f>
        <v>0</v>
      </c>
      <c r="AY145" s="20">
        <f t="shared" si="170"/>
        <v>0</v>
      </c>
      <c r="AZ145">
        <f t="shared" si="170"/>
        <v>0</v>
      </c>
      <c r="BA145" t="str">
        <f>IFERROR(VLOOKUP(AY145,EFid!$A$77:$C$94,2,FALSE),"0")</f>
        <v>0</v>
      </c>
      <c r="BB145">
        <f t="shared" ref="BB145:BB147" si="171">AZ145*BA145</f>
        <v>0</v>
      </c>
      <c r="BC145" s="21"/>
      <c r="BH145" s="6">
        <v>0</v>
      </c>
      <c r="BI145">
        <v>0</v>
      </c>
      <c r="BJ145">
        <f>IFERROR(VLOOKUP(BH145,EFid!$A$415:$D$428,2,FALSE),0)</f>
        <v>0</v>
      </c>
      <c r="BL145" s="11">
        <f t="shared" si="133"/>
        <v>0</v>
      </c>
      <c r="BP145" s="6">
        <v>0</v>
      </c>
      <c r="BQ145">
        <v>0</v>
      </c>
      <c r="BR145">
        <f>IFERROR(VLOOKUP(BP145,EFid!$A$243:$D$250,2,FALSE),0)</f>
        <v>0</v>
      </c>
      <c r="BT145" s="11">
        <f t="shared" si="138"/>
        <v>0</v>
      </c>
      <c r="CC145" s="457" t="s">
        <v>791</v>
      </c>
    </row>
    <row r="146" spans="2:81">
      <c r="B146" s="85" t="s">
        <v>762</v>
      </c>
      <c r="C146" t="s">
        <v>763</v>
      </c>
      <c r="E146" s="938" t="e">
        <f>E124</f>
        <v>#REF!</v>
      </c>
      <c r="G146" s="811">
        <f>G124</f>
        <v>1</v>
      </c>
      <c r="H146" s="811">
        <f>H124</f>
        <v>1</v>
      </c>
      <c r="AY146" s="20">
        <f t="shared" si="170"/>
        <v>0</v>
      </c>
      <c r="AZ146">
        <f t="shared" si="170"/>
        <v>0</v>
      </c>
      <c r="BA146" t="str">
        <f>IFERROR(VLOOKUP(AY146,EFid!$A$77:$C$94,2,FALSE),"0")</f>
        <v>0</v>
      </c>
      <c r="BB146">
        <f t="shared" si="171"/>
        <v>0</v>
      </c>
      <c r="BC146" s="21"/>
      <c r="BH146" s="7">
        <v>0</v>
      </c>
      <c r="BI146" s="8">
        <v>0</v>
      </c>
      <c r="BJ146">
        <f>IFERROR(VLOOKUP(BH146,EFid!$A$415:$D$428,2,FALSE),0)</f>
        <v>0</v>
      </c>
      <c r="BK146" s="8"/>
      <c r="BL146" s="41">
        <f t="shared" si="133"/>
        <v>0</v>
      </c>
      <c r="BP146" s="6">
        <v>0</v>
      </c>
      <c r="BQ146">
        <v>0</v>
      </c>
      <c r="BR146">
        <f>IFERROR(VLOOKUP(BP146,EFid!$A$243:$D$250,2,FALSE),0)</f>
        <v>0</v>
      </c>
      <c r="BT146" s="11">
        <f t="shared" si="138"/>
        <v>0</v>
      </c>
    </row>
    <row r="147" spans="2:81" ht="15" thickBot="1">
      <c r="B147" s="85" t="s">
        <v>770</v>
      </c>
      <c r="C147" t="s">
        <v>771</v>
      </c>
      <c r="E147" s="938">
        <f>E129</f>
        <v>0</v>
      </c>
      <c r="F147" t="s">
        <v>772</v>
      </c>
      <c r="G147" s="811">
        <f>G129</f>
        <v>0</v>
      </c>
      <c r="H147" s="811">
        <f>H129</f>
        <v>0</v>
      </c>
      <c r="AY147" s="58">
        <f t="shared" si="170"/>
        <v>0</v>
      </c>
      <c r="AZ147" s="36">
        <f t="shared" si="170"/>
        <v>0</v>
      </c>
      <c r="BA147" s="36" t="str">
        <f>IFERROR(VLOOKUP(AY147,EFid!$A$77:$C$94,2,FALSE),"0")</f>
        <v>0</v>
      </c>
      <c r="BB147" s="36">
        <f t="shared" si="171"/>
        <v>0</v>
      </c>
      <c r="BC147" s="37"/>
      <c r="BH147" s="2" cm="1">
        <f t="array" ref="BH147:BH156">Loomakasvatus!C550:C559</f>
        <v>0</v>
      </c>
      <c r="BI147" s="3" cm="1">
        <f t="array" ref="BI147:BI156">Loomakasvatus!D550:D559</f>
        <v>0</v>
      </c>
      <c r="BJ147" s="3">
        <f>IFERROR(VLOOKUP(BH147,EFid!$A$415:$D$428,2,FALSE),0)</f>
        <v>0</v>
      </c>
      <c r="BK147" s="3"/>
      <c r="BL147" s="9">
        <f t="shared" si="133"/>
        <v>0</v>
      </c>
      <c r="BM147" s="444">
        <f>SUM(BL147:BL156)</f>
        <v>0</v>
      </c>
      <c r="BO147" t="s">
        <v>181</v>
      </c>
      <c r="BP147" s="6">
        <v>0</v>
      </c>
      <c r="BQ147">
        <v>0</v>
      </c>
      <c r="BR147">
        <f>IFERROR(VLOOKUP(BP147,EFid!$A$243:$D$250,2,FALSE),0)</f>
        <v>0</v>
      </c>
      <c r="BT147" s="11">
        <f t="shared" si="138"/>
        <v>0</v>
      </c>
    </row>
    <row r="148" spans="2:81" ht="15" thickBot="1">
      <c r="B148" s="85" t="s">
        <v>792</v>
      </c>
      <c r="C148" t="s">
        <v>793</v>
      </c>
      <c r="E148" s="938" t="e">
        <f>VLOOKUP(Loomakasvatus!#REF!,'M1 - LK'!K250:L257,2,FALSE)</f>
        <v>#REF!</v>
      </c>
      <c r="F148" t="s">
        <v>34</v>
      </c>
      <c r="G148" s="822">
        <f>IFERROR(VLOOKUP(Loomakasvatus!C214,'M1 - LK'!$K$251:$L$257,2,FALSE),0)</f>
        <v>0</v>
      </c>
      <c r="H148" s="822">
        <f>IFERROR(VLOOKUP(Loomakasvatus!D214,'M1 - LK'!$K$251:$L$257,2,FALSE),0)</f>
        <v>0</v>
      </c>
      <c r="BH148" s="6">
        <v>0</v>
      </c>
      <c r="BI148">
        <v>0</v>
      </c>
      <c r="BJ148">
        <f>IFERROR(VLOOKUP(BH148,EFid!$A$415:$D$428,2,FALSE),0)</f>
        <v>0</v>
      </c>
      <c r="BL148" s="11">
        <f t="shared" si="133"/>
        <v>0</v>
      </c>
      <c r="BP148" s="6">
        <v>0</v>
      </c>
      <c r="BQ148">
        <v>0</v>
      </c>
      <c r="BR148">
        <f>IFERROR(VLOOKUP(BP148,EFid!$A$243:$D$250,2,FALSE),0)</f>
        <v>0</v>
      </c>
      <c r="BT148" s="11">
        <f t="shared" si="138"/>
        <v>0</v>
      </c>
    </row>
    <row r="149" spans="2:81">
      <c r="B149" s="193" t="s">
        <v>794</v>
      </c>
      <c r="C149" s="178"/>
      <c r="D149" s="178"/>
      <c r="E149" s="194"/>
      <c r="AY149" s="90" t="s">
        <v>153</v>
      </c>
      <c r="AZ149" s="16"/>
      <c r="BA149" s="16"/>
      <c r="BB149" s="16"/>
      <c r="BC149" s="16"/>
      <c r="BD149" s="16"/>
      <c r="BE149" s="16"/>
      <c r="BF149" s="17"/>
      <c r="BG149" t="s">
        <v>182</v>
      </c>
      <c r="BH149" s="6">
        <v>0</v>
      </c>
      <c r="BI149">
        <v>0</v>
      </c>
      <c r="BJ149">
        <f>IFERROR(VLOOKUP(BH149,EFid!$A$415:$D$428,2,FALSE),0)</f>
        <v>0</v>
      </c>
      <c r="BL149" s="11">
        <f t="shared" si="133"/>
        <v>0</v>
      </c>
      <c r="BP149" s="6">
        <v>0</v>
      </c>
      <c r="BQ149">
        <v>0</v>
      </c>
      <c r="BR149">
        <f>IFERROR(VLOOKUP(BP149,EFid!$A$243:$D$250,2,FALSE),0)</f>
        <v>0</v>
      </c>
      <c r="BT149" s="11">
        <f t="shared" si="138"/>
        <v>0</v>
      </c>
    </row>
    <row r="150" spans="2:81">
      <c r="B150" s="188" t="s">
        <v>795</v>
      </c>
      <c r="C150" s="189"/>
      <c r="D150" s="189"/>
      <c r="E150" s="190"/>
      <c r="AY150" s="20" t="str" cm="1">
        <f t="array" ref="AY150:BB160">Table83[#All]</f>
        <v>Vili</v>
      </c>
      <c r="AZ150" t="str">
        <v>Kuivatuseelne kaal (t)</v>
      </c>
      <c r="BA150" t="str">
        <v>Kuivatusjärgne kaal (t)</v>
      </c>
      <c r="BB150" t="str">
        <v>Mis kütust kuivatis kasutatakse?</v>
      </c>
      <c r="BC150" t="s">
        <v>796</v>
      </c>
      <c r="BD150" t="s">
        <v>797</v>
      </c>
      <c r="BE150" t="s">
        <v>517</v>
      </c>
      <c r="BF150" s="445">
        <f>SUM(BE151:BE160)</f>
        <v>0</v>
      </c>
      <c r="BH150" s="6">
        <v>0</v>
      </c>
      <c r="BI150">
        <v>0</v>
      </c>
      <c r="BJ150">
        <f>IFERROR(VLOOKUP(BH150,EFid!$A$415:$D$428,2,FALSE),0)</f>
        <v>0</v>
      </c>
      <c r="BL150" s="11">
        <f t="shared" si="133"/>
        <v>0</v>
      </c>
      <c r="BP150" s="6">
        <v>0</v>
      </c>
      <c r="BQ150">
        <v>0</v>
      </c>
      <c r="BR150">
        <f>IFERROR(VLOOKUP(BP150,EFid!$A$243:$D$250,2,FALSE),0)</f>
        <v>0</v>
      </c>
      <c r="BT150" s="11">
        <f t="shared" si="138"/>
        <v>0</v>
      </c>
    </row>
    <row r="151" spans="2:81">
      <c r="B151" s="20" t="s">
        <v>798</v>
      </c>
      <c r="C151" t="s">
        <v>799</v>
      </c>
      <c r="E151" s="187">
        <f>SUM(G151:H151)</f>
        <v>0</v>
      </c>
      <c r="F151" t="s">
        <v>772</v>
      </c>
      <c r="G151" s="42">
        <f>G152*G153*G154</f>
        <v>0</v>
      </c>
      <c r="H151" s="42">
        <f>H152*H153*H154</f>
        <v>0</v>
      </c>
      <c r="AY151" s="20">
        <v>0</v>
      </c>
      <c r="AZ151">
        <v>0</v>
      </c>
      <c r="BA151">
        <v>0</v>
      </c>
      <c r="BB151">
        <v>0</v>
      </c>
      <c r="BC151">
        <f>AZ151-BA151</f>
        <v>0</v>
      </c>
      <c r="BD151">
        <f>IFERROR(VLOOKUP(BB151,EFid!$I$4:$J$13,2,FALSE),0)</f>
        <v>0</v>
      </c>
      <c r="BE151">
        <f>1500*BC151*BD151</f>
        <v>0</v>
      </c>
      <c r="BF151" s="21"/>
      <c r="BH151" s="6">
        <v>0</v>
      </c>
      <c r="BI151">
        <v>0</v>
      </c>
      <c r="BJ151">
        <f>IFERROR(VLOOKUP(BH151,EFid!$A$415:$D$428,2,FALSE),0)</f>
        <v>0</v>
      </c>
      <c r="BL151" s="11">
        <f t="shared" si="133"/>
        <v>0</v>
      </c>
      <c r="BP151" s="6">
        <v>0</v>
      </c>
      <c r="BQ151">
        <v>0</v>
      </c>
      <c r="BR151">
        <f>IFERROR(VLOOKUP(BP151,EFid!$A$243:$D$250,2,FALSE),0)</f>
        <v>0</v>
      </c>
      <c r="BT151" s="11">
        <f t="shared" si="138"/>
        <v>0</v>
      </c>
    </row>
    <row r="152" spans="2:81">
      <c r="B152" s="85" t="s">
        <v>446</v>
      </c>
      <c r="C152" t="s">
        <v>800</v>
      </c>
      <c r="E152" s="938">
        <f>E138</f>
        <v>0</v>
      </c>
      <c r="F152" t="s">
        <v>299</v>
      </c>
      <c r="G152" s="811" cm="1">
        <f t="array" ref="G152:H152">Loomakasvatus!C208:D208</f>
        <v>0</v>
      </c>
      <c r="H152" s="811">
        <v>0</v>
      </c>
      <c r="AY152" s="20">
        <v>0</v>
      </c>
      <c r="AZ152">
        <v>0</v>
      </c>
      <c r="BA152">
        <v>0</v>
      </c>
      <c r="BB152">
        <v>0</v>
      </c>
      <c r="BC152">
        <f t="shared" ref="BC152:BC160" si="172">AZ152-BA152</f>
        <v>0</v>
      </c>
      <c r="BD152">
        <f>IFERROR(VLOOKUP(BB152,EFid!$I$4:$J$13,2,FALSE),0)</f>
        <v>0</v>
      </c>
      <c r="BE152">
        <f t="shared" ref="BE152:BE160" si="173">1500*BC152*BD152</f>
        <v>0</v>
      </c>
      <c r="BF152" s="21"/>
      <c r="BH152" s="6">
        <v>0</v>
      </c>
      <c r="BI152">
        <v>0</v>
      </c>
      <c r="BJ152">
        <f>IFERROR(VLOOKUP(BH152,EFid!$A$415:$D$428,2,FALSE),0)</f>
        <v>0</v>
      </c>
      <c r="BL152" s="11">
        <f t="shared" si="133"/>
        <v>0</v>
      </c>
      <c r="BP152" s="7">
        <v>0</v>
      </c>
      <c r="BQ152" s="8">
        <v>0</v>
      </c>
      <c r="BR152" s="8">
        <f>IFERROR(VLOOKUP(BP152,EFid!$A$243:$D$250,2,FALSE),0)</f>
        <v>0</v>
      </c>
      <c r="BS152" s="8"/>
      <c r="BT152" s="41">
        <f t="shared" si="138"/>
        <v>0</v>
      </c>
    </row>
    <row r="153" spans="2:81">
      <c r="B153" s="85" t="s">
        <v>801</v>
      </c>
      <c r="C153" t="s">
        <v>784</v>
      </c>
      <c r="E153" s="938">
        <f>'M1 - LK'!M270</f>
        <v>7.8E-2</v>
      </c>
      <c r="F153" t="s">
        <v>758</v>
      </c>
      <c r="G153" s="811">
        <f>'M1 - LK'!M270</f>
        <v>7.8E-2</v>
      </c>
      <c r="H153" s="811">
        <f>'M1 - LK'!M270</f>
        <v>7.8E-2</v>
      </c>
      <c r="AY153" s="20">
        <v>0</v>
      </c>
      <c r="AZ153">
        <v>0</v>
      </c>
      <c r="BA153">
        <v>0</v>
      </c>
      <c r="BB153">
        <v>0</v>
      </c>
      <c r="BC153">
        <f t="shared" si="172"/>
        <v>0</v>
      </c>
      <c r="BD153">
        <f>IFERROR(VLOOKUP(BB153,EFid!$I$4:$J$13,2,FALSE),0)</f>
        <v>0</v>
      </c>
      <c r="BE153">
        <f t="shared" si="173"/>
        <v>0</v>
      </c>
      <c r="BF153" s="21"/>
      <c r="BH153" s="6">
        <v>0</v>
      </c>
      <c r="BI153">
        <v>0</v>
      </c>
      <c r="BJ153">
        <f>IFERROR(VLOOKUP(BH153,EFid!$A$415:$D$428,2,FALSE),0)</f>
        <v>0</v>
      </c>
      <c r="BL153" s="11">
        <f t="shared" si="133"/>
        <v>0</v>
      </c>
      <c r="BP153" s="2" cm="1">
        <f t="array" ref="BP153:BP161">Loomakasvatus!C562:C570</f>
        <v>0</v>
      </c>
      <c r="BQ153" s="3" cm="1">
        <f t="array" ref="BQ153:BQ161">Loomakasvatus!D562:D570</f>
        <v>0</v>
      </c>
      <c r="BR153" s="3">
        <f>IFERROR(VLOOKUP(BP153,EFid!$A$243:$D$250,2,FALSE),0)</f>
        <v>0</v>
      </c>
      <c r="BS153" s="3"/>
      <c r="BT153" s="9">
        <f t="shared" si="138"/>
        <v>0</v>
      </c>
      <c r="BU153">
        <f>SUM(BT153:BT161)</f>
        <v>0</v>
      </c>
    </row>
    <row r="154" spans="2:81">
      <c r="B154" s="198" t="s">
        <v>762</v>
      </c>
      <c r="C154" s="8" t="s">
        <v>763</v>
      </c>
      <c r="D154" s="8"/>
      <c r="E154" s="938" t="e">
        <f>E134</f>
        <v>#REF!</v>
      </c>
      <c r="G154" s="811" cm="1">
        <f t="array" ref="G154:H154">G124:H124</f>
        <v>1</v>
      </c>
      <c r="H154" s="811">
        <v>1</v>
      </c>
      <c r="AY154" s="20">
        <v>0</v>
      </c>
      <c r="AZ154">
        <v>0</v>
      </c>
      <c r="BA154">
        <v>0</v>
      </c>
      <c r="BB154">
        <v>0</v>
      </c>
      <c r="BC154">
        <f t="shared" si="172"/>
        <v>0</v>
      </c>
      <c r="BD154">
        <f>IFERROR(VLOOKUP(BB154,EFid!$I$4:$J$13,2,FALSE),0)</f>
        <v>0</v>
      </c>
      <c r="BE154">
        <f t="shared" si="173"/>
        <v>0</v>
      </c>
      <c r="BF154" s="21"/>
      <c r="BH154" s="6">
        <v>0</v>
      </c>
      <c r="BI154">
        <v>0</v>
      </c>
      <c r="BJ154">
        <f>IFERROR(VLOOKUP(BH154,EFid!$A$415:$D$428,2,FALSE),0)</f>
        <v>0</v>
      </c>
      <c r="BL154" s="11">
        <f t="shared" si="133"/>
        <v>0</v>
      </c>
      <c r="BP154" s="6">
        <v>0</v>
      </c>
      <c r="BQ154">
        <v>0</v>
      </c>
      <c r="BR154">
        <f>IFERROR(VLOOKUP(BP154,EFid!$A$243:$D$250,2,FALSE),0)</f>
        <v>0</v>
      </c>
      <c r="BT154" s="11">
        <f t="shared" si="138"/>
        <v>0</v>
      </c>
    </row>
    <row r="155" spans="2:81">
      <c r="B155" s="193" t="s">
        <v>802</v>
      </c>
      <c r="C155" s="178"/>
      <c r="D155" s="178"/>
      <c r="E155" s="194"/>
      <c r="AY155" s="20">
        <v>0</v>
      </c>
      <c r="AZ155">
        <v>0</v>
      </c>
      <c r="BA155">
        <v>0</v>
      </c>
      <c r="BB155">
        <v>0</v>
      </c>
      <c r="BC155">
        <f t="shared" si="172"/>
        <v>0</v>
      </c>
      <c r="BD155">
        <f>IFERROR(VLOOKUP(BB155,EFid!$I$4:$J$13,2,FALSE),0)</f>
        <v>0</v>
      </c>
      <c r="BE155">
        <f t="shared" si="173"/>
        <v>0</v>
      </c>
      <c r="BF155" s="21"/>
      <c r="BH155" s="6">
        <v>0</v>
      </c>
      <c r="BI155">
        <v>0</v>
      </c>
      <c r="BJ155">
        <f>IFERROR(VLOOKUP(BH155,EFid!$A$415:$D$428,2,FALSE),0)</f>
        <v>0</v>
      </c>
      <c r="BL155" s="11">
        <f t="shared" si="133"/>
        <v>0</v>
      </c>
      <c r="BP155" s="6">
        <v>0</v>
      </c>
      <c r="BQ155">
        <v>0</v>
      </c>
      <c r="BR155">
        <f>IFERROR(VLOOKUP(BP155,EFid!$A$243:$D$250,2,FALSE),0)</f>
        <v>0</v>
      </c>
      <c r="BT155" s="11">
        <f t="shared" si="138"/>
        <v>0</v>
      </c>
    </row>
    <row r="156" spans="2:81">
      <c r="B156" s="188" t="s">
        <v>803</v>
      </c>
      <c r="C156" s="189"/>
      <c r="D156" s="189"/>
      <c r="E156" s="190"/>
      <c r="AY156" s="20">
        <v>0</v>
      </c>
      <c r="AZ156">
        <v>0</v>
      </c>
      <c r="BA156">
        <v>0</v>
      </c>
      <c r="BB156">
        <v>0</v>
      </c>
      <c r="BC156">
        <f t="shared" si="172"/>
        <v>0</v>
      </c>
      <c r="BD156">
        <f>IFERROR(VLOOKUP(BB156,EFid!$I$4:$J$13,2,FALSE),0)</f>
        <v>0</v>
      </c>
      <c r="BE156">
        <f t="shared" si="173"/>
        <v>0</v>
      </c>
      <c r="BF156" s="21"/>
      <c r="BH156" s="7">
        <v>0</v>
      </c>
      <c r="BI156" s="8">
        <v>0</v>
      </c>
      <c r="BJ156">
        <f>IFERROR(VLOOKUP(BH156,EFid!$A$415:$D$428,2,FALSE),0)</f>
        <v>0</v>
      </c>
      <c r="BK156" s="8"/>
      <c r="BL156" s="41">
        <f t="shared" si="133"/>
        <v>0</v>
      </c>
      <c r="BO156" t="s">
        <v>182</v>
      </c>
      <c r="BP156" s="6">
        <v>0</v>
      </c>
      <c r="BQ156">
        <v>0</v>
      </c>
      <c r="BR156">
        <f>IFERROR(VLOOKUP(BP156,EFid!$A$243:$D$250,2,FALSE),0)</f>
        <v>0</v>
      </c>
      <c r="BT156" s="11">
        <f t="shared" si="138"/>
        <v>0</v>
      </c>
    </row>
    <row r="157" spans="2:81">
      <c r="B157" s="20" t="s">
        <v>804</v>
      </c>
      <c r="C157" t="s">
        <v>805</v>
      </c>
      <c r="E157" s="187">
        <f>SUM(G157:H157)</f>
        <v>0</v>
      </c>
      <c r="F157" t="s">
        <v>772</v>
      </c>
      <c r="G157" s="42">
        <f>G158*G159*G160/100</f>
        <v>0</v>
      </c>
      <c r="H157" s="42">
        <f>H158*H159*H160/100</f>
        <v>0</v>
      </c>
      <c r="J157" s="1" t="s">
        <v>806</v>
      </c>
      <c r="AY157" s="20">
        <v>0</v>
      </c>
      <c r="AZ157">
        <v>0</v>
      </c>
      <c r="BA157">
        <v>0</v>
      </c>
      <c r="BB157">
        <v>0</v>
      </c>
      <c r="BC157">
        <f t="shared" si="172"/>
        <v>0</v>
      </c>
      <c r="BD157">
        <f>IFERROR(VLOOKUP(BB157,EFid!$I$4:$J$13,2,FALSE),0)</f>
        <v>0</v>
      </c>
      <c r="BE157">
        <f t="shared" si="173"/>
        <v>0</v>
      </c>
      <c r="BF157" s="21"/>
      <c r="BH157" s="2" cm="1">
        <f t="array" ref="BH157:BH166">Loomakasvatus!C637:C646</f>
        <v>0</v>
      </c>
      <c r="BI157" s="3" cm="1">
        <f t="array" ref="BI157:BI166">Loomakasvatus!D637:D646</f>
        <v>0</v>
      </c>
      <c r="BJ157" s="3">
        <f>IFERROR(VLOOKUP(BH157,EFid!$A$415:$D$428,2,FALSE),0)</f>
        <v>0</v>
      </c>
      <c r="BK157" s="3"/>
      <c r="BL157" s="9">
        <f t="shared" si="133"/>
        <v>0</v>
      </c>
      <c r="BM157">
        <f>SUM(BL157:BL166)</f>
        <v>0</v>
      </c>
      <c r="BP157" s="6">
        <v>0</v>
      </c>
      <c r="BQ157">
        <v>0</v>
      </c>
      <c r="BR157">
        <f>IFERROR(VLOOKUP(BP157,EFid!$A$243:$D$250,2,FALSE),0)</f>
        <v>0</v>
      </c>
      <c r="BT157" s="11">
        <f t="shared" si="138"/>
        <v>0</v>
      </c>
    </row>
    <row r="158" spans="2:81">
      <c r="B158" s="20" t="s">
        <v>742</v>
      </c>
      <c r="C158" t="s">
        <v>743</v>
      </c>
      <c r="E158" s="938">
        <f>E110</f>
        <v>0</v>
      </c>
      <c r="F158" t="s">
        <v>135</v>
      </c>
      <c r="G158" s="811" cm="1">
        <f t="array" ref="G158:H158">G110:H110</f>
        <v>0</v>
      </c>
      <c r="H158" s="811">
        <v>0</v>
      </c>
      <c r="J158" t="s">
        <v>807</v>
      </c>
      <c r="K158">
        <f>(1-G124)*G110*'M1 - TK'!$B$14*(44/28)</f>
        <v>0</v>
      </c>
      <c r="L158">
        <f>(1-H124)*H110*'M1 - TK'!$B$14*(44/28)</f>
        <v>0</v>
      </c>
      <c r="AY158" s="20">
        <v>0</v>
      </c>
      <c r="AZ158">
        <v>0</v>
      </c>
      <c r="BA158">
        <v>0</v>
      </c>
      <c r="BB158">
        <v>0</v>
      </c>
      <c r="BC158">
        <f t="shared" si="172"/>
        <v>0</v>
      </c>
      <c r="BD158">
        <f>IFERROR(VLOOKUP(BB158,EFid!$I$4:$J$13,2,FALSE),0)</f>
        <v>0</v>
      </c>
      <c r="BE158">
        <f t="shared" si="173"/>
        <v>0</v>
      </c>
      <c r="BF158" s="21"/>
      <c r="BH158" s="6">
        <v>0</v>
      </c>
      <c r="BI158">
        <v>0</v>
      </c>
      <c r="BJ158">
        <f>IFERROR(VLOOKUP(BH158,EFid!$A$415:$D$428,2,FALSE),0)</f>
        <v>0</v>
      </c>
      <c r="BL158" s="11">
        <f t="shared" si="133"/>
        <v>0</v>
      </c>
      <c r="BP158" s="6">
        <v>0</v>
      </c>
      <c r="BQ158">
        <v>0</v>
      </c>
      <c r="BR158">
        <f>IFERROR(VLOOKUP(BP158,EFid!$A$243:$D$250,2,FALSE),0)</f>
        <v>0</v>
      </c>
      <c r="BT158" s="11">
        <f t="shared" si="138"/>
        <v>0</v>
      </c>
    </row>
    <row r="159" spans="2:81">
      <c r="B159" s="85" t="s">
        <v>762</v>
      </c>
      <c r="C159" t="s">
        <v>763</v>
      </c>
      <c r="E159" s="938" t="e">
        <f>E146</f>
        <v>#REF!</v>
      </c>
      <c r="G159" s="811" cm="1">
        <f t="array" ref="G159:H159">G124:H124</f>
        <v>1</v>
      </c>
      <c r="H159" s="811">
        <v>1</v>
      </c>
      <c r="J159" t="s">
        <v>808</v>
      </c>
      <c r="K159">
        <f>(1-G124)*G110*'M1 - TK'!$B$25*'M1 - TK'!$B$20*(44/28)</f>
        <v>0</v>
      </c>
      <c r="L159">
        <f>(1-H124)*H110*'M1 - TK'!$B$25*'M1 - TK'!$B$20*(44/28)</f>
        <v>0</v>
      </c>
      <c r="AY159" s="20">
        <v>0</v>
      </c>
      <c r="AZ159">
        <v>0</v>
      </c>
      <c r="BA159">
        <v>0</v>
      </c>
      <c r="BB159">
        <v>0</v>
      </c>
      <c r="BC159">
        <f t="shared" si="172"/>
        <v>0</v>
      </c>
      <c r="BD159">
        <f>IFERROR(VLOOKUP(BB159,EFid!$I$4:$J$13,2,FALSE),0)</f>
        <v>0</v>
      </c>
      <c r="BE159">
        <f t="shared" si="173"/>
        <v>0</v>
      </c>
      <c r="BF159" s="21"/>
      <c r="BG159" t="s">
        <v>183</v>
      </c>
      <c r="BH159" s="6">
        <v>0</v>
      </c>
      <c r="BI159">
        <v>0</v>
      </c>
      <c r="BJ159">
        <f>IFERROR(VLOOKUP(BH159,EFid!$A$415:$D$428,2,FALSE),0)</f>
        <v>0</v>
      </c>
      <c r="BL159" s="11">
        <f t="shared" si="133"/>
        <v>0</v>
      </c>
      <c r="BP159" s="6">
        <v>0</v>
      </c>
      <c r="BQ159">
        <v>0</v>
      </c>
      <c r="BR159">
        <f>IFERROR(VLOOKUP(BP159,EFid!$A$243:$D$250,2,FALSE),0)</f>
        <v>0</v>
      </c>
      <c r="BT159" s="11">
        <f t="shared" si="138"/>
        <v>0</v>
      </c>
    </row>
    <row r="160" spans="2:81" ht="15" thickBot="1">
      <c r="B160" s="125" t="s">
        <v>792</v>
      </c>
      <c r="C160" s="36" t="s">
        <v>809</v>
      </c>
      <c r="D160" s="36"/>
      <c r="E160" s="940">
        <f>'M1 - LK'!L278</f>
        <v>0.1</v>
      </c>
      <c r="F160" t="s">
        <v>34</v>
      </c>
      <c r="G160" s="811">
        <f>'M1 - LK'!L278</f>
        <v>0.1</v>
      </c>
      <c r="H160" s="811">
        <f>'M1 - LK'!L278</f>
        <v>0.1</v>
      </c>
      <c r="J160" t="s">
        <v>810</v>
      </c>
      <c r="K160">
        <f>(1-G124)*G110*'M1 - TK'!$B$27*'M1 - TK'!$B$21*(44/28)</f>
        <v>0</v>
      </c>
      <c r="L160">
        <f>(1-H124)*H110*'M1 - TK'!$B$27*'M1 - TK'!$B$21*(44/28)</f>
        <v>0</v>
      </c>
      <c r="AY160" s="58">
        <v>0</v>
      </c>
      <c r="AZ160" s="36">
        <v>0</v>
      </c>
      <c r="BA160" s="36">
        <v>0</v>
      </c>
      <c r="BB160" s="36">
        <v>0</v>
      </c>
      <c r="BC160" s="36">
        <f t="shared" si="172"/>
        <v>0</v>
      </c>
      <c r="BD160" s="36">
        <f>IFERROR(VLOOKUP(BB160,EFid!$I$4:$J$13,2,FALSE),0)</f>
        <v>0</v>
      </c>
      <c r="BE160" s="36">
        <f t="shared" si="173"/>
        <v>0</v>
      </c>
      <c r="BF160" s="37"/>
      <c r="BH160" s="6">
        <v>0</v>
      </c>
      <c r="BI160">
        <v>0</v>
      </c>
      <c r="BJ160">
        <f>IFERROR(VLOOKUP(BH160,EFid!$A$415:$D$428,2,FALSE),0)</f>
        <v>0</v>
      </c>
      <c r="BL160" s="11">
        <f t="shared" si="133"/>
        <v>0</v>
      </c>
      <c r="BP160" s="6">
        <v>0</v>
      </c>
      <c r="BQ160">
        <v>0</v>
      </c>
      <c r="BR160">
        <f>IFERROR(VLOOKUP(BP160,EFid!$A$243:$D$250,2,FALSE),0)</f>
        <v>0</v>
      </c>
      <c r="BT160" s="11">
        <f t="shared" si="138"/>
        <v>0</v>
      </c>
    </row>
    <row r="161" spans="2:77">
      <c r="B161" s="1343" t="s">
        <v>811</v>
      </c>
      <c r="C161" s="1343"/>
      <c r="D161" s="1343"/>
      <c r="E161" s="1343"/>
      <c r="J161" t="s">
        <v>812</v>
      </c>
      <c r="K161">
        <f>SUM(K158:K160)</f>
        <v>0</v>
      </c>
      <c r="L161">
        <f>SUM(L158:L160)</f>
        <v>0</v>
      </c>
      <c r="BH161" s="6">
        <v>0</v>
      </c>
      <c r="BI161">
        <v>0</v>
      </c>
      <c r="BJ161">
        <f>IFERROR(VLOOKUP(BH161,EFid!$A$415:$D$428,2,FALSE),0)</f>
        <v>0</v>
      </c>
      <c r="BL161" s="11">
        <f t="shared" si="133"/>
        <v>0</v>
      </c>
      <c r="BP161" s="7">
        <v>0</v>
      </c>
      <c r="BQ161" s="8">
        <v>0</v>
      </c>
      <c r="BR161" s="8">
        <f>IFERROR(VLOOKUP(BP161,EFid!$A$243:$D$250,2,FALSE),0)</f>
        <v>0</v>
      </c>
      <c r="BS161" s="8"/>
      <c r="BT161" s="41">
        <f t="shared" si="138"/>
        <v>0</v>
      </c>
    </row>
    <row r="162" spans="2:77" ht="15" thickBot="1">
      <c r="B162" s="32" t="s">
        <v>813</v>
      </c>
      <c r="C162" s="203"/>
      <c r="D162" s="203"/>
      <c r="E162" s="131" t="e">
        <f>E119</f>
        <v>#REF!</v>
      </c>
      <c r="BH162" s="6">
        <v>0</v>
      </c>
      <c r="BI162">
        <v>0</v>
      </c>
      <c r="BJ162">
        <f>IFERROR(VLOOKUP(BH162,EFid!$A$415:$D$428,2,FALSE),0)</f>
        <v>0</v>
      </c>
      <c r="BL162" s="11">
        <f t="shared" ref="BL162:BL166" si="174">BJ162*BI162</f>
        <v>0</v>
      </c>
      <c r="BP162" s="2" cm="1">
        <f t="array" ref="BP162:BP170">Loomakasvatus!C649:C657</f>
        <v>0</v>
      </c>
      <c r="BQ162" s="3" cm="1">
        <f t="array" ref="BQ162:BQ170">Loomakasvatus!D649:D657</f>
        <v>0</v>
      </c>
      <c r="BR162" s="3">
        <f>IFERROR(VLOOKUP(BP162,EFid!$A$243:$D$250,2,FALSE),0)</f>
        <v>0</v>
      </c>
      <c r="BS162" s="3"/>
      <c r="BT162" s="9">
        <f t="shared" si="138"/>
        <v>0</v>
      </c>
      <c r="BU162">
        <f>SUM(BT162:BT170)</f>
        <v>0</v>
      </c>
    </row>
    <row r="163" spans="2:77">
      <c r="B163" s="1344" t="s">
        <v>814</v>
      </c>
      <c r="C163" s="1344"/>
      <c r="D163" s="1344"/>
      <c r="E163" s="1344"/>
      <c r="AY163" s="15"/>
      <c r="AZ163" s="16" t="s">
        <v>815</v>
      </c>
      <c r="BA163" s="16"/>
      <c r="BB163" s="16"/>
      <c r="BC163" s="16"/>
      <c r="BD163" s="17"/>
      <c r="BH163" s="6">
        <v>0</v>
      </c>
      <c r="BI163">
        <v>0</v>
      </c>
      <c r="BJ163">
        <f>IFERROR(VLOOKUP(BH163,EFid!$A$415:$D$428,2,FALSE),0)</f>
        <v>0</v>
      </c>
      <c r="BL163" s="11">
        <f t="shared" si="174"/>
        <v>0</v>
      </c>
      <c r="BP163" s="6">
        <v>0</v>
      </c>
      <c r="BQ163">
        <v>0</v>
      </c>
      <c r="BR163">
        <f>IFERROR(VLOOKUP(BP163,EFid!$A$243:$D$250,2,FALSE),0)</f>
        <v>0</v>
      </c>
      <c r="BT163" s="11">
        <f t="shared" si="138"/>
        <v>0</v>
      </c>
    </row>
    <row r="164" spans="2:77">
      <c r="B164" s="193" t="s">
        <v>816</v>
      </c>
      <c r="C164" s="178"/>
      <c r="D164" s="178"/>
      <c r="E164" s="194"/>
      <c r="AY164" s="20" t="str">
        <f>Taimekasvatus!E58</f>
        <v>Lämmastiku vorm väetises</v>
      </c>
      <c r="AZ164" t="str">
        <f>Taimekasvatus!H58</f>
        <v>Päritolumaa</v>
      </c>
      <c r="BA164" t="s">
        <v>108</v>
      </c>
      <c r="BB164" t="s">
        <v>817</v>
      </c>
      <c r="BC164" t="s">
        <v>517</v>
      </c>
      <c r="BD164" s="21"/>
      <c r="BH164" s="6">
        <v>0</v>
      </c>
      <c r="BI164">
        <v>0</v>
      </c>
      <c r="BJ164">
        <f>IFERROR(VLOOKUP(BH164,EFid!$A$415:$D$428,2,FALSE),0)</f>
        <v>0</v>
      </c>
      <c r="BL164" s="11">
        <f t="shared" si="174"/>
        <v>0</v>
      </c>
      <c r="BP164" s="6">
        <v>0</v>
      </c>
      <c r="BQ164">
        <v>0</v>
      </c>
      <c r="BR164">
        <f>IFERROR(VLOOKUP(BP164,EFid!$A$243:$D$250,2,FALSE),0)</f>
        <v>0</v>
      </c>
      <c r="BT164" s="11">
        <f t="shared" si="138"/>
        <v>0</v>
      </c>
    </row>
    <row r="165" spans="2:77">
      <c r="B165" s="20" t="s">
        <v>818</v>
      </c>
      <c r="E165" s="42">
        <f>SUM(G165:H165)</f>
        <v>0</v>
      </c>
      <c r="G165" s="42">
        <f>G166*(14/17)*0.01*(44/28)</f>
        <v>0</v>
      </c>
      <c r="H165" s="42">
        <f>H166*(14/17)*0.01*(44/28)</f>
        <v>0</v>
      </c>
      <c r="AY165" s="20">
        <f>Taimekasvatus!E59</f>
        <v>0</v>
      </c>
      <c r="AZ165">
        <f>Taimekasvatus!H59</f>
        <v>0</v>
      </c>
      <c r="BA165">
        <f>Taimekasvatus!F59/1000</f>
        <v>0</v>
      </c>
      <c r="BB165">
        <f>IFERROR(VLOOKUP(AZ165,EFid!$A$432:$B$501,2,FALSE),0)</f>
        <v>0</v>
      </c>
      <c r="BC165">
        <f>BA165*BB165</f>
        <v>0</v>
      </c>
      <c r="BD165" s="445">
        <f>SUM(BC165:BC195)</f>
        <v>0</v>
      </c>
      <c r="BH165" s="6">
        <v>0</v>
      </c>
      <c r="BI165">
        <v>0</v>
      </c>
      <c r="BJ165">
        <f>IFERROR(VLOOKUP(BH165,EFid!$A$415:$D$428,2,FALSE),0)</f>
        <v>0</v>
      </c>
      <c r="BL165" s="11">
        <f t="shared" si="174"/>
        <v>0</v>
      </c>
      <c r="BO165" t="s">
        <v>183</v>
      </c>
      <c r="BP165" s="6">
        <v>0</v>
      </c>
      <c r="BQ165">
        <v>0</v>
      </c>
      <c r="BR165">
        <f>IFERROR(VLOOKUP(BP165,EFid!$A$243:$D$250,2,FALSE),0)</f>
        <v>0</v>
      </c>
      <c r="BT165" s="11">
        <f t="shared" si="138"/>
        <v>0</v>
      </c>
    </row>
    <row r="166" spans="2:77">
      <c r="B166" s="85" t="s">
        <v>770</v>
      </c>
      <c r="C166" t="s">
        <v>771</v>
      </c>
      <c r="E166" s="941">
        <f>E129</f>
        <v>0</v>
      </c>
      <c r="F166" t="s">
        <v>772</v>
      </c>
      <c r="G166" s="811">
        <f>G129</f>
        <v>0</v>
      </c>
      <c r="H166" s="811">
        <f>H129</f>
        <v>0</v>
      </c>
      <c r="AY166" s="20">
        <f>Taimekasvatus!E60</f>
        <v>0</v>
      </c>
      <c r="AZ166">
        <f>Taimekasvatus!H60</f>
        <v>0</v>
      </c>
      <c r="BA166">
        <f>Taimekasvatus!F60/1000</f>
        <v>0</v>
      </c>
      <c r="BB166">
        <f>IFERROR(VLOOKUP(AZ166,EFid!$A$432:$B$501,2,FALSE),0)</f>
        <v>0</v>
      </c>
      <c r="BC166">
        <f t="shared" ref="BC166:BC229" si="175">BA166*BB166</f>
        <v>0</v>
      </c>
      <c r="BD166" s="21"/>
      <c r="BH166" s="7">
        <v>0</v>
      </c>
      <c r="BI166" s="8">
        <v>0</v>
      </c>
      <c r="BJ166" s="8">
        <f>IFERROR(VLOOKUP(BH166,EFid!$A$415:$D$428,2,FALSE),0)</f>
        <v>0</v>
      </c>
      <c r="BK166" s="8"/>
      <c r="BL166" s="41">
        <f t="shared" si="174"/>
        <v>0</v>
      </c>
      <c r="BP166" s="6">
        <v>0</v>
      </c>
      <c r="BQ166">
        <v>0</v>
      </c>
      <c r="BR166">
        <f>IFERROR(VLOOKUP(BP166,EFid!$A$243:$D$250,2,FALSE),0)</f>
        <v>0</v>
      </c>
      <c r="BT166" s="11">
        <f t="shared" si="138"/>
        <v>0</v>
      </c>
    </row>
    <row r="167" spans="2:77">
      <c r="B167" s="193" t="s">
        <v>819</v>
      </c>
      <c r="C167" s="178"/>
      <c r="D167" s="178"/>
      <c r="E167" s="194"/>
      <c r="AY167" s="20">
        <f>Taimekasvatus!E61</f>
        <v>0</v>
      </c>
      <c r="AZ167">
        <f>Taimekasvatus!H61</f>
        <v>0</v>
      </c>
      <c r="BA167">
        <f>Taimekasvatus!F61/1000</f>
        <v>0</v>
      </c>
      <c r="BB167">
        <f>IFERROR(VLOOKUP(AZ167,EFid!$A$432:$B$501,2,FALSE),0)</f>
        <v>0</v>
      </c>
      <c r="BC167">
        <f t="shared" si="175"/>
        <v>0</v>
      </c>
      <c r="BD167" s="21"/>
      <c r="BP167" s="6">
        <v>0</v>
      </c>
      <c r="BQ167">
        <v>0</v>
      </c>
      <c r="BR167">
        <f>IFERROR(VLOOKUP(BP167,EFid!$A$243:$D$250,2,FALSE),0)</f>
        <v>0</v>
      </c>
      <c r="BT167" s="11">
        <f t="shared" si="138"/>
        <v>0</v>
      </c>
    </row>
    <row r="168" spans="2:77">
      <c r="B168" s="20" t="s">
        <v>820</v>
      </c>
      <c r="E168" s="187">
        <f>SUM(G168:H168)</f>
        <v>0</v>
      </c>
      <c r="G168" s="42">
        <f>G169*(14/17)*0.01*(44/28)</f>
        <v>0</v>
      </c>
      <c r="H168" s="42">
        <f>H169*(14/17)*0.01*(44/28)</f>
        <v>0</v>
      </c>
      <c r="AY168" s="20">
        <f>Taimekasvatus!E62</f>
        <v>0</v>
      </c>
      <c r="AZ168">
        <f>Taimekasvatus!H62</f>
        <v>0</v>
      </c>
      <c r="BA168">
        <f>Taimekasvatus!F62/1000</f>
        <v>0</v>
      </c>
      <c r="BB168">
        <f>IFERROR(VLOOKUP(AZ168,EFid!$A$432:$B$501,2,FALSE),0)</f>
        <v>0</v>
      </c>
      <c r="BC168">
        <f t="shared" si="175"/>
        <v>0</v>
      </c>
      <c r="BD168" s="21"/>
      <c r="BP168" s="6">
        <v>0</v>
      </c>
      <c r="BQ168">
        <v>0</v>
      </c>
      <c r="BR168">
        <f>IFERROR(VLOOKUP(BP168,EFid!$A$243:$D$250,2,FALSE),0)</f>
        <v>0</v>
      </c>
      <c r="BT168" s="11">
        <f t="shared" si="138"/>
        <v>0</v>
      </c>
    </row>
    <row r="169" spans="2:77" ht="15" thickBot="1">
      <c r="B169" s="125" t="s">
        <v>789</v>
      </c>
      <c r="C169" s="36" t="s">
        <v>790</v>
      </c>
      <c r="D169" s="36"/>
      <c r="E169" s="939">
        <f>E144</f>
        <v>0</v>
      </c>
      <c r="F169" t="s">
        <v>772</v>
      </c>
      <c r="G169" s="811" cm="1">
        <f t="array" ref="G169:H169">G144:H144</f>
        <v>0</v>
      </c>
      <c r="H169" s="811">
        <v>0</v>
      </c>
      <c r="AY169" s="20">
        <f>Taimekasvatus!E63</f>
        <v>0</v>
      </c>
      <c r="AZ169">
        <f>Taimekasvatus!H63</f>
        <v>0</v>
      </c>
      <c r="BA169">
        <f>Taimekasvatus!F63/1000</f>
        <v>0</v>
      </c>
      <c r="BB169">
        <f>IFERROR(VLOOKUP(AZ169,EFid!$A$432:$B$501,2,FALSE),0)</f>
        <v>0</v>
      </c>
      <c r="BC169">
        <f t="shared" si="175"/>
        <v>0</v>
      </c>
      <c r="BD169" s="21"/>
      <c r="BP169" s="6">
        <v>0</v>
      </c>
      <c r="BQ169">
        <v>0</v>
      </c>
      <c r="BR169">
        <f>IFERROR(VLOOKUP(BP169,EFid!$A$243:$D$250,2,FALSE),0)</f>
        <v>0</v>
      </c>
      <c r="BT169" s="11">
        <f t="shared" si="138"/>
        <v>0</v>
      </c>
    </row>
    <row r="170" spans="2:77" ht="15" thickBot="1">
      <c r="B170" s="112"/>
      <c r="AY170" s="20">
        <f>Taimekasvatus!E64</f>
        <v>0</v>
      </c>
      <c r="AZ170">
        <f>Taimekasvatus!H64</f>
        <v>0</v>
      </c>
      <c r="BA170">
        <f>Taimekasvatus!F64/1000</f>
        <v>0</v>
      </c>
      <c r="BB170">
        <f>IFERROR(VLOOKUP(AZ170,EFid!$A$432:$B$501,2,FALSE),0)</f>
        <v>0</v>
      </c>
      <c r="BC170">
        <f t="shared" si="175"/>
        <v>0</v>
      </c>
      <c r="BD170" s="21"/>
      <c r="BP170" s="7">
        <v>0</v>
      </c>
      <c r="BQ170" s="8">
        <v>0</v>
      </c>
      <c r="BR170" s="8">
        <f>IFERROR(VLOOKUP(BP170,EFid!$A$243:$D$250,2,FALSE),0)</f>
        <v>0</v>
      </c>
      <c r="BS170" s="8"/>
      <c r="BT170" s="41">
        <f t="shared" si="138"/>
        <v>0</v>
      </c>
    </row>
    <row r="171" spans="2:77" ht="15" thickBot="1">
      <c r="B171" s="1340" t="s">
        <v>179</v>
      </c>
      <c r="C171" s="1340"/>
      <c r="D171" s="1340"/>
      <c r="E171" s="1340"/>
      <c r="AY171" s="20">
        <f>Taimekasvatus!E65</f>
        <v>0</v>
      </c>
      <c r="AZ171">
        <f>Taimekasvatus!H65</f>
        <v>0</v>
      </c>
      <c r="BA171">
        <f>Taimekasvatus!F65/1000</f>
        <v>0</v>
      </c>
      <c r="BB171">
        <f>IFERROR(VLOOKUP(AZ171,EFid!$A$432:$B$501,2,FALSE),0)</f>
        <v>0</v>
      </c>
      <c r="BC171">
        <f t="shared" si="175"/>
        <v>0</v>
      </c>
      <c r="BD171" s="21"/>
      <c r="BH171" s="1" t="s">
        <v>481</v>
      </c>
    </row>
    <row r="172" spans="2:77">
      <c r="B172" s="20"/>
      <c r="E172" s="21"/>
      <c r="AY172" s="20">
        <f>Taimekasvatus!E66</f>
        <v>0</v>
      </c>
      <c r="AZ172">
        <f>Taimekasvatus!H66</f>
        <v>0</v>
      </c>
      <c r="BA172">
        <f>Taimekasvatus!F66/1000</f>
        <v>0</v>
      </c>
      <c r="BB172">
        <f>IFERROR(VLOOKUP(AZ172,EFid!$A$432:$B$501,2,FALSE),0)</f>
        <v>0</v>
      </c>
      <c r="BC172">
        <f t="shared" si="175"/>
        <v>0</v>
      </c>
      <c r="BD172" s="21"/>
      <c r="BH172" s="90" t="s">
        <v>178</v>
      </c>
      <c r="BI172" s="16"/>
      <c r="BJ172" s="16"/>
      <c r="BK172" s="16"/>
      <c r="BL172" s="16"/>
      <c r="BM172" s="16"/>
      <c r="BN172" s="90" t="s">
        <v>180</v>
      </c>
      <c r="BO172" s="16"/>
      <c r="BP172" s="16"/>
      <c r="BQ172" s="16"/>
      <c r="BR172" s="16"/>
      <c r="BS172" s="17"/>
      <c r="BT172" s="90" t="s">
        <v>181</v>
      </c>
      <c r="BU172" s="16"/>
      <c r="BV172" s="16"/>
      <c r="BW172" s="16"/>
      <c r="BX172" s="16"/>
      <c r="BY172" s="17"/>
    </row>
    <row r="173" spans="2:77">
      <c r="B173" s="193" t="s">
        <v>728</v>
      </c>
      <c r="C173" s="178"/>
      <c r="D173" s="178"/>
      <c r="E173" s="194"/>
      <c r="AY173" s="20">
        <f>Taimekasvatus!E67</f>
        <v>0</v>
      </c>
      <c r="AZ173">
        <f>Taimekasvatus!H67</f>
        <v>0</v>
      </c>
      <c r="BA173">
        <f>Taimekasvatus!F67/1000</f>
        <v>0</v>
      </c>
      <c r="BB173">
        <f>IFERROR(VLOOKUP(AZ173,EFid!$A$432:$B$501,2,FALSE),0)</f>
        <v>0</v>
      </c>
      <c r="BC173">
        <f t="shared" si="175"/>
        <v>0</v>
      </c>
      <c r="BD173" s="21"/>
      <c r="BH173" s="80" t="s">
        <v>821</v>
      </c>
      <c r="BI173" s="1" t="s">
        <v>108</v>
      </c>
      <c r="BJ173" s="1" t="s">
        <v>88</v>
      </c>
      <c r="BK173" s="1" t="s">
        <v>822</v>
      </c>
      <c r="BL173" s="153" t="s">
        <v>517</v>
      </c>
      <c r="BN173" s="80" t="s">
        <v>821</v>
      </c>
      <c r="BO173" s="1" t="s">
        <v>108</v>
      </c>
      <c r="BP173" s="1" t="s">
        <v>88</v>
      </c>
      <c r="BQ173" s="1" t="s">
        <v>822</v>
      </c>
      <c r="BR173" s="153" t="s">
        <v>517</v>
      </c>
      <c r="BS173" s="21"/>
      <c r="BT173" s="80" t="s">
        <v>821</v>
      </c>
      <c r="BU173" s="1" t="s">
        <v>108</v>
      </c>
      <c r="BV173" s="1" t="s">
        <v>88</v>
      </c>
      <c r="BW173" s="1" t="s">
        <v>822</v>
      </c>
      <c r="BX173" s="153" t="s">
        <v>517</v>
      </c>
      <c r="BY173" s="21"/>
    </row>
    <row r="174" spans="2:77">
      <c r="B174" s="188" t="s">
        <v>729</v>
      </c>
      <c r="C174" s="189"/>
      <c r="D174" s="189"/>
      <c r="E174" s="190"/>
      <c r="AY174" s="20">
        <f>Taimekasvatus!E68</f>
        <v>0</v>
      </c>
      <c r="AZ174">
        <f>Taimekasvatus!H68</f>
        <v>0</v>
      </c>
      <c r="BA174">
        <f>Taimekasvatus!F68/1000</f>
        <v>0</v>
      </c>
      <c r="BB174">
        <f>IFERROR(VLOOKUP(AZ174,EFid!$A$432:$B$501,2,FALSE),0)</f>
        <v>0</v>
      </c>
      <c r="BC174">
        <f t="shared" si="175"/>
        <v>0</v>
      </c>
      <c r="BD174" s="21"/>
      <c r="BH174" s="20" cm="1">
        <f t="array" ref="BH174:BH186">Loomakasvatus!B234:B246</f>
        <v>0</v>
      </c>
      <c r="BI174" cm="1">
        <f t="array" ref="BI174:BI186">Loomakasvatus!D234:D246/1000</f>
        <v>0</v>
      </c>
      <c r="BJ174" cm="1">
        <f t="array" ref="BJ174:BJ186">Loomakasvatus!C234:C246</f>
        <v>0</v>
      </c>
      <c r="BK174">
        <f>IFERROR(VLOOKUP(BJ174,EFid!$A$432:$B$501,2,FALSE),0)</f>
        <v>0</v>
      </c>
      <c r="BL174">
        <f>BI174*BK174</f>
        <v>0</v>
      </c>
      <c r="BM174" s="444">
        <f>SUM(BL174:BL186)</f>
        <v>0</v>
      </c>
      <c r="BN174" s="20" cm="1">
        <f t="array" ref="BN174:BN188">Loomakasvatus!B134:B148</f>
        <v>0</v>
      </c>
      <c r="BO174" cm="1">
        <f t="array" ref="BO174:BO188">Loomakasvatus!D134:D148/1000</f>
        <v>0</v>
      </c>
      <c r="BP174" cm="1">
        <f t="array" ref="BP174:BP188">Loomakasvatus!C134:C148</f>
        <v>0</v>
      </c>
      <c r="BQ174">
        <f>IFERROR(VLOOKUP(BP174,EFid!$A$432:$B$501,2,FALSE),0)</f>
        <v>0</v>
      </c>
      <c r="BR174">
        <f>BO174*BQ174</f>
        <v>0</v>
      </c>
      <c r="BS174" s="445">
        <f>SUM(BR174:BR188)</f>
        <v>0</v>
      </c>
      <c r="BT174" s="20" cm="1">
        <f t="array" ref="BT174:BT187">Loomakasvatus!B417:B430</f>
        <v>0</v>
      </c>
      <c r="BU174" cm="1">
        <f t="array" ref="BU174:BU187">Loomakasvatus!D417:D430/1000</f>
        <v>0</v>
      </c>
      <c r="BV174" cm="1">
        <f t="array" ref="BV174:BV187">Loomakasvatus!C417:C430</f>
        <v>0</v>
      </c>
      <c r="BW174">
        <f>IFERROR(VLOOKUP(BV174,EFid!$A$432:$B$501,2,FALSE),0)</f>
        <v>0</v>
      </c>
      <c r="BX174">
        <f>BU174*BW174</f>
        <v>0</v>
      </c>
      <c r="BY174" s="445">
        <f>SUM(BX174:BX187)</f>
        <v>0</v>
      </c>
    </row>
    <row r="175" spans="2:77">
      <c r="B175" s="20" t="s">
        <v>731</v>
      </c>
      <c r="C175" t="s">
        <v>732</v>
      </c>
      <c r="E175" s="186">
        <f>E176*E177/1000</f>
        <v>0</v>
      </c>
      <c r="AY175" s="20">
        <f>Taimekasvatus!E69</f>
        <v>0</v>
      </c>
      <c r="AZ175">
        <f>Taimekasvatus!H69</f>
        <v>0</v>
      </c>
      <c r="BA175">
        <f>Taimekasvatus!F69/1000</f>
        <v>0</v>
      </c>
      <c r="BB175">
        <f>IFERROR(VLOOKUP(AZ175,EFid!$A$432:$B$501,2,FALSE),0)</f>
        <v>0</v>
      </c>
      <c r="BC175">
        <f t="shared" si="175"/>
        <v>0</v>
      </c>
      <c r="BD175" s="21"/>
      <c r="BH175" s="20">
        <v>0</v>
      </c>
      <c r="BI175">
        <v>0</v>
      </c>
      <c r="BJ175">
        <v>0</v>
      </c>
      <c r="BK175">
        <f>IFERROR(VLOOKUP(BJ175,EFid!$A$432:$B$501,2,FALSE),0)</f>
        <v>0</v>
      </c>
      <c r="BL175">
        <f t="shared" ref="BL175:BL197" si="176">BI175*BK175</f>
        <v>0</v>
      </c>
      <c r="BN175" s="20">
        <v>0</v>
      </c>
      <c r="BO175">
        <v>0</v>
      </c>
      <c r="BP175">
        <v>0</v>
      </c>
      <c r="BQ175">
        <f>IFERROR(VLOOKUP(BP175,EFid!$A$432:$B$501,2,FALSE),0)</f>
        <v>0</v>
      </c>
      <c r="BR175">
        <f t="shared" ref="BR175:BR203" si="177">BO175*BQ175</f>
        <v>0</v>
      </c>
      <c r="BS175" s="21"/>
      <c r="BT175" s="20">
        <v>0</v>
      </c>
      <c r="BU175">
        <v>0</v>
      </c>
      <c r="BV175">
        <v>0</v>
      </c>
      <c r="BW175">
        <f>IFERROR(VLOOKUP(BV175,EFid!$A$432:$B$501,2,FALSE),0)</f>
        <v>0</v>
      </c>
      <c r="BX175">
        <f t="shared" ref="BX175:BX201" si="178">BU175*BW175</f>
        <v>0</v>
      </c>
      <c r="BY175" s="21"/>
    </row>
    <row r="176" spans="2:77">
      <c r="B176" s="32" t="s">
        <v>734</v>
      </c>
      <c r="C176" s="33" t="s">
        <v>735</v>
      </c>
      <c r="D176" s="33"/>
      <c r="E176" s="131">
        <f>Loomakasvatus!D307</f>
        <v>0</v>
      </c>
      <c r="F176" t="s">
        <v>736</v>
      </c>
      <c r="AY176" s="20">
        <f>Taimekasvatus!E70</f>
        <v>0</v>
      </c>
      <c r="AZ176">
        <f>Taimekasvatus!H70</f>
        <v>0</v>
      </c>
      <c r="BA176">
        <f>Taimekasvatus!F70/1000</f>
        <v>0</v>
      </c>
      <c r="BB176">
        <f>IFERROR(VLOOKUP(AZ176,EFid!$A$432:$B$501,2,FALSE),0)</f>
        <v>0</v>
      </c>
      <c r="BC176">
        <f t="shared" si="175"/>
        <v>0</v>
      </c>
      <c r="BD176" s="21"/>
      <c r="BH176" s="20">
        <v>0</v>
      </c>
      <c r="BI176">
        <v>0</v>
      </c>
      <c r="BJ176">
        <v>0</v>
      </c>
      <c r="BK176">
        <f>IFERROR(VLOOKUP(BJ176,EFid!$A$432:$B$501,2,FALSE),0)</f>
        <v>0</v>
      </c>
      <c r="BL176">
        <f t="shared" si="176"/>
        <v>0</v>
      </c>
      <c r="BN176" s="20">
        <v>0</v>
      </c>
      <c r="BO176">
        <v>0</v>
      </c>
      <c r="BP176">
        <v>0</v>
      </c>
      <c r="BQ176">
        <f>IFERROR(VLOOKUP(BP176,EFid!$A$432:$B$501,2,FALSE),0)</f>
        <v>0</v>
      </c>
      <c r="BR176">
        <f t="shared" si="177"/>
        <v>0</v>
      </c>
      <c r="BS176" s="21"/>
      <c r="BT176" s="20">
        <v>0</v>
      </c>
      <c r="BU176">
        <v>0</v>
      </c>
      <c r="BV176">
        <v>0</v>
      </c>
      <c r="BW176">
        <f>IFERROR(VLOOKUP(BV176,EFid!$A$432:$B$501,2,FALSE),0)</f>
        <v>0</v>
      </c>
      <c r="BX176">
        <f t="shared" si="178"/>
        <v>0</v>
      </c>
      <c r="BY176" s="21"/>
    </row>
    <row r="177" spans="2:77">
      <c r="B177" s="182" t="s">
        <v>737</v>
      </c>
      <c r="C177" s="49" t="s">
        <v>738</v>
      </c>
      <c r="D177" s="49"/>
      <c r="E177" s="185">
        <f>Loomakasvatus!D308</f>
        <v>0</v>
      </c>
      <c r="F177" t="s">
        <v>135</v>
      </c>
      <c r="AY177" s="20">
        <f>Taimekasvatus!E71</f>
        <v>0</v>
      </c>
      <c r="AZ177">
        <f>Taimekasvatus!H71</f>
        <v>0</v>
      </c>
      <c r="BA177">
        <f>Taimekasvatus!F71/1000</f>
        <v>0</v>
      </c>
      <c r="BB177">
        <f>IFERROR(VLOOKUP(AZ177,EFid!$A$432:$B$501,2,FALSE),0)</f>
        <v>0</v>
      </c>
      <c r="BC177">
        <f t="shared" si="175"/>
        <v>0</v>
      </c>
      <c r="BD177" s="21"/>
      <c r="BH177" s="20">
        <v>0</v>
      </c>
      <c r="BI177">
        <v>0</v>
      </c>
      <c r="BJ177">
        <v>0</v>
      </c>
      <c r="BK177">
        <f>IFERROR(VLOOKUP(BJ177,EFid!$A$432:$B$501,2,FALSE),0)</f>
        <v>0</v>
      </c>
      <c r="BL177">
        <f t="shared" si="176"/>
        <v>0</v>
      </c>
      <c r="BN177" s="20">
        <v>0</v>
      </c>
      <c r="BO177">
        <v>0</v>
      </c>
      <c r="BP177">
        <v>0</v>
      </c>
      <c r="BQ177">
        <f>IFERROR(VLOOKUP(BP177,EFid!$A$432:$B$501,2,FALSE),0)</f>
        <v>0</v>
      </c>
      <c r="BR177">
        <f t="shared" si="177"/>
        <v>0</v>
      </c>
      <c r="BS177" s="21"/>
      <c r="BT177" s="20">
        <v>0</v>
      </c>
      <c r="BU177">
        <v>0</v>
      </c>
      <c r="BV177">
        <v>0</v>
      </c>
      <c r="BW177">
        <f>IFERROR(VLOOKUP(BV177,EFid!$A$432:$B$501,2,FALSE),0)</f>
        <v>0</v>
      </c>
      <c r="BX177">
        <f t="shared" si="178"/>
        <v>0</v>
      </c>
      <c r="BY177" s="21"/>
    </row>
    <row r="178" spans="2:77">
      <c r="B178" s="193" t="s">
        <v>740</v>
      </c>
      <c r="C178" s="178"/>
      <c r="D178" s="178"/>
      <c r="E178" s="194"/>
      <c r="AY178" s="20" t="str">
        <f>Taimekasvatus!E72</f>
        <v>Fosfori vorm väetises</v>
      </c>
      <c r="AZ178" t="str">
        <f>Taimekasvatus!H72</f>
        <v>Päritolumaa</v>
      </c>
      <c r="BA178" t="str">
        <f>Taimekasvatus!F72</f>
        <v>Väetise kogus (kg)</v>
      </c>
      <c r="BB178">
        <f>IFERROR(VLOOKUP(AZ178,EFid!$A$432:$B$501,2,FALSE),0)</f>
        <v>0</v>
      </c>
      <c r="BD178" s="21"/>
      <c r="BH178" s="20">
        <v>0</v>
      </c>
      <c r="BI178">
        <v>0</v>
      </c>
      <c r="BJ178">
        <v>0</v>
      </c>
      <c r="BK178">
        <f>IFERROR(VLOOKUP(BJ178,EFid!$A$432:$B$501,2,FALSE),0)</f>
        <v>0</v>
      </c>
      <c r="BL178">
        <f t="shared" si="176"/>
        <v>0</v>
      </c>
      <c r="BN178" s="20">
        <v>0</v>
      </c>
      <c r="BO178">
        <v>0</v>
      </c>
      <c r="BP178">
        <v>0</v>
      </c>
      <c r="BQ178">
        <f>IFERROR(VLOOKUP(BP178,EFid!$A$432:$B$501,2,FALSE),0)</f>
        <v>0</v>
      </c>
      <c r="BR178">
        <f t="shared" si="177"/>
        <v>0</v>
      </c>
      <c r="BS178" s="21"/>
      <c r="BT178" s="20">
        <v>0</v>
      </c>
      <c r="BU178">
        <v>0</v>
      </c>
      <c r="BV178">
        <v>0</v>
      </c>
      <c r="BW178">
        <f>IFERROR(VLOOKUP(BV178,EFid!$A$432:$B$501,2,FALSE),0)</f>
        <v>0</v>
      </c>
      <c r="BX178">
        <f t="shared" si="178"/>
        <v>0</v>
      </c>
      <c r="BY178" s="21"/>
    </row>
    <row r="179" spans="2:77">
      <c r="B179" s="188" t="s">
        <v>741</v>
      </c>
      <c r="C179" s="189"/>
      <c r="D179" s="189"/>
      <c r="E179" s="190"/>
      <c r="AY179" s="20">
        <f>Taimekasvatus!E73</f>
        <v>0</v>
      </c>
      <c r="AZ179">
        <f>Taimekasvatus!H73</f>
        <v>0</v>
      </c>
      <c r="BA179">
        <f>Taimekasvatus!F73/1000</f>
        <v>0</v>
      </c>
      <c r="BB179">
        <f>IFERROR(VLOOKUP(AZ179,EFid!$A$432:$B$501,2,FALSE),0)</f>
        <v>0</v>
      </c>
      <c r="BC179">
        <f t="shared" si="175"/>
        <v>0</v>
      </c>
      <c r="BD179" s="21"/>
      <c r="BH179" s="20">
        <v>0</v>
      </c>
      <c r="BI179">
        <v>0</v>
      </c>
      <c r="BJ179">
        <v>0</v>
      </c>
      <c r="BK179">
        <f>IFERROR(VLOOKUP(BJ179,EFid!$A$432:$B$501,2,FALSE),0)</f>
        <v>0</v>
      </c>
      <c r="BL179">
        <f t="shared" si="176"/>
        <v>0</v>
      </c>
      <c r="BN179" s="20">
        <v>0</v>
      </c>
      <c r="BO179">
        <v>0</v>
      </c>
      <c r="BP179">
        <v>0</v>
      </c>
      <c r="BQ179">
        <f>IFERROR(VLOOKUP(BP179,EFid!$A$432:$B$501,2,FALSE),0)</f>
        <v>0</v>
      </c>
      <c r="BR179">
        <f t="shared" si="177"/>
        <v>0</v>
      </c>
      <c r="BS179" s="21"/>
      <c r="BT179" s="20">
        <v>0</v>
      </c>
      <c r="BU179">
        <v>0</v>
      </c>
      <c r="BV179">
        <v>0</v>
      </c>
      <c r="BW179">
        <f>IFERROR(VLOOKUP(BV179,EFid!$A$432:$B$501,2,FALSE),0)</f>
        <v>0</v>
      </c>
      <c r="BX179">
        <f t="shared" si="178"/>
        <v>0</v>
      </c>
      <c r="BY179" s="21"/>
    </row>
    <row r="180" spans="2:77">
      <c r="B180" s="20" t="s">
        <v>742</v>
      </c>
      <c r="C180" t="s">
        <v>743</v>
      </c>
      <c r="E180" s="186">
        <f>E181-(E182*0.0181)-(E184*0.0288)</f>
        <v>0</v>
      </c>
      <c r="F180" t="s">
        <v>135</v>
      </c>
      <c r="AY180" s="20">
        <f>Taimekasvatus!E74</f>
        <v>0</v>
      </c>
      <c r="AZ180">
        <f>Taimekasvatus!H74</f>
        <v>0</v>
      </c>
      <c r="BA180">
        <f>Taimekasvatus!F74/1000</f>
        <v>0</v>
      </c>
      <c r="BB180">
        <f>IFERROR(VLOOKUP(AZ180,EFid!$A$432:$B$501,2,FALSE),0)</f>
        <v>0</v>
      </c>
      <c r="BC180">
        <f t="shared" si="175"/>
        <v>0</v>
      </c>
      <c r="BD180" s="21"/>
      <c r="BH180" s="20">
        <v>0</v>
      </c>
      <c r="BI180">
        <v>0</v>
      </c>
      <c r="BJ180">
        <v>0</v>
      </c>
      <c r="BK180">
        <f>IFERROR(VLOOKUP(BJ180,EFid!$A$432:$B$501,2,FALSE),0)</f>
        <v>0</v>
      </c>
      <c r="BL180">
        <f t="shared" si="176"/>
        <v>0</v>
      </c>
      <c r="BN180" s="20">
        <v>0</v>
      </c>
      <c r="BO180">
        <v>0</v>
      </c>
      <c r="BP180">
        <v>0</v>
      </c>
      <c r="BQ180">
        <f>IFERROR(VLOOKUP(BP180,EFid!$A$432:$B$501,2,FALSE),0)</f>
        <v>0</v>
      </c>
      <c r="BR180">
        <f t="shared" si="177"/>
        <v>0</v>
      </c>
      <c r="BS180" s="21"/>
      <c r="BT180" s="20">
        <v>0</v>
      </c>
      <c r="BU180">
        <v>0</v>
      </c>
      <c r="BV180">
        <v>0</v>
      </c>
      <c r="BW180">
        <f>IFERROR(VLOOKUP(BV180,EFid!$A$432:$B$501,2,FALSE),0)</f>
        <v>0</v>
      </c>
      <c r="BX180">
        <f t="shared" si="178"/>
        <v>0</v>
      </c>
      <c r="BY180" s="21"/>
    </row>
    <row r="181" spans="2:77">
      <c r="B181" s="20" t="s">
        <v>731</v>
      </c>
      <c r="C181" t="s">
        <v>732</v>
      </c>
      <c r="E181" s="186">
        <f>E175</f>
        <v>0</v>
      </c>
      <c r="F181" t="s">
        <v>135</v>
      </c>
      <c r="AY181" s="20">
        <f>Taimekasvatus!E75</f>
        <v>0</v>
      </c>
      <c r="AZ181">
        <f>Taimekasvatus!H75</f>
        <v>0</v>
      </c>
      <c r="BA181">
        <f>Taimekasvatus!F75/1000</f>
        <v>0</v>
      </c>
      <c r="BB181">
        <f>IFERROR(VLOOKUP(AZ181,EFid!$A$432:$B$501,2,FALSE),0)</f>
        <v>0</v>
      </c>
      <c r="BC181">
        <f t="shared" si="175"/>
        <v>0</v>
      </c>
      <c r="BD181" s="21"/>
      <c r="BH181" s="20">
        <v>0</v>
      </c>
      <c r="BI181">
        <v>0</v>
      </c>
      <c r="BJ181">
        <v>0</v>
      </c>
      <c r="BK181">
        <f>IFERROR(VLOOKUP(BJ181,EFid!$A$432:$B$501,2,FALSE),0)</f>
        <v>0</v>
      </c>
      <c r="BL181">
        <f t="shared" si="176"/>
        <v>0</v>
      </c>
      <c r="BN181" s="20">
        <v>0</v>
      </c>
      <c r="BO181">
        <v>0</v>
      </c>
      <c r="BP181">
        <v>0</v>
      </c>
      <c r="BQ181">
        <f>IFERROR(VLOOKUP(BP181,EFid!$A$432:$B$501,2,FALSE),0)</f>
        <v>0</v>
      </c>
      <c r="BR181">
        <f t="shared" si="177"/>
        <v>0</v>
      </c>
      <c r="BS181" s="21"/>
      <c r="BT181" s="20">
        <v>0</v>
      </c>
      <c r="BU181">
        <v>0</v>
      </c>
      <c r="BV181">
        <v>0</v>
      </c>
      <c r="BW181">
        <f>IFERROR(VLOOKUP(BV181,EFid!$A$432:$B$501,2,FALSE),0)</f>
        <v>0</v>
      </c>
      <c r="BX181">
        <f t="shared" si="178"/>
        <v>0</v>
      </c>
      <c r="BY181" s="21"/>
    </row>
    <row r="182" spans="2:77">
      <c r="B182" s="32" t="s">
        <v>744</v>
      </c>
      <c r="C182" s="33" t="s">
        <v>745</v>
      </c>
      <c r="D182" s="33"/>
      <c r="E182" s="131">
        <v>0</v>
      </c>
      <c r="F182" t="s">
        <v>135</v>
      </c>
      <c r="G182" s="1" t="s">
        <v>806</v>
      </c>
      <c r="AY182" s="20">
        <f>Taimekasvatus!E76</f>
        <v>0</v>
      </c>
      <c r="AZ182">
        <f>Taimekasvatus!H76</f>
        <v>0</v>
      </c>
      <c r="BA182">
        <f>Taimekasvatus!F76/1000</f>
        <v>0</v>
      </c>
      <c r="BB182">
        <f>IFERROR(VLOOKUP(AZ182,EFid!$A$432:$B$501,2,FALSE),0)</f>
        <v>0</v>
      </c>
      <c r="BC182">
        <f t="shared" si="175"/>
        <v>0</v>
      </c>
      <c r="BD182" s="21"/>
      <c r="BH182" s="20">
        <v>0</v>
      </c>
      <c r="BI182">
        <v>0</v>
      </c>
      <c r="BJ182">
        <v>0</v>
      </c>
      <c r="BK182">
        <f>IFERROR(VLOOKUP(BJ182,EFid!$A$432:$B$501,2,FALSE),0)</f>
        <v>0</v>
      </c>
      <c r="BL182">
        <f t="shared" si="176"/>
        <v>0</v>
      </c>
      <c r="BN182" s="20">
        <v>0</v>
      </c>
      <c r="BO182">
        <v>0</v>
      </c>
      <c r="BP182">
        <v>0</v>
      </c>
      <c r="BQ182">
        <f>IFERROR(VLOOKUP(BP182,EFid!$A$432:$B$501,2,FALSE),0)</f>
        <v>0</v>
      </c>
      <c r="BR182">
        <f t="shared" si="177"/>
        <v>0</v>
      </c>
      <c r="BS182" s="21"/>
      <c r="BT182" s="20">
        <v>0</v>
      </c>
      <c r="BU182">
        <v>0</v>
      </c>
      <c r="BV182">
        <v>0</v>
      </c>
      <c r="BW182">
        <f>IFERROR(VLOOKUP(BV182,EFid!$A$432:$B$501,2,FALSE),0)</f>
        <v>0</v>
      </c>
      <c r="BX182">
        <f t="shared" si="178"/>
        <v>0</v>
      </c>
      <c r="BY182" s="21"/>
    </row>
    <row r="183" spans="2:77">
      <c r="B183" s="20"/>
      <c r="C183" t="s">
        <v>746</v>
      </c>
      <c r="E183" s="187">
        <v>1.8100000000000002E-2</v>
      </c>
      <c r="F183" t="s">
        <v>747</v>
      </c>
      <c r="G183" t="s">
        <v>807</v>
      </c>
      <c r="H183">
        <f>(1-E194)*E180*'M1 - TK'!B14*(44/28)</f>
        <v>0</v>
      </c>
      <c r="AY183" s="20" t="str">
        <f>Taimekasvatus!E77</f>
        <v>Kaaliumväetised</v>
      </c>
      <c r="AZ183" t="str">
        <f>Taimekasvatus!H77</f>
        <v>Päritolumaa</v>
      </c>
      <c r="BA183" t="str">
        <f>Taimekasvatus!F77</f>
        <v>Väetise kogus (kg)</v>
      </c>
      <c r="BB183">
        <f>IFERROR(VLOOKUP(AZ183,EFid!$A$432:$B$501,2,FALSE),0)</f>
        <v>0</v>
      </c>
      <c r="BD183" s="21"/>
      <c r="BH183" s="20">
        <v>0</v>
      </c>
      <c r="BI183">
        <v>0</v>
      </c>
      <c r="BJ183">
        <v>0</v>
      </c>
      <c r="BK183">
        <f>IFERROR(VLOOKUP(BJ183,EFid!$A$432:$B$501,2,FALSE),0)</f>
        <v>0</v>
      </c>
      <c r="BL183">
        <f t="shared" si="176"/>
        <v>0</v>
      </c>
      <c r="BN183" s="20">
        <v>0</v>
      </c>
      <c r="BO183">
        <v>0</v>
      </c>
      <c r="BP183">
        <v>0</v>
      </c>
      <c r="BQ183">
        <f>IFERROR(VLOOKUP(BP183,EFid!$A$432:$B$501,2,FALSE),0)</f>
        <v>0</v>
      </c>
      <c r="BR183">
        <f t="shared" si="177"/>
        <v>0</v>
      </c>
      <c r="BS183" s="21"/>
      <c r="BT183" s="20">
        <v>0</v>
      </c>
      <c r="BU183">
        <v>0</v>
      </c>
      <c r="BV183">
        <v>0</v>
      </c>
      <c r="BW183">
        <f>IFERROR(VLOOKUP(BV183,EFid!$A$432:$B$501,2,FALSE),0)</f>
        <v>0</v>
      </c>
      <c r="BX183">
        <f t="shared" si="178"/>
        <v>0</v>
      </c>
      <c r="BY183" s="21"/>
    </row>
    <row r="184" spans="2:77">
      <c r="B184" s="32" t="s">
        <v>748</v>
      </c>
      <c r="C184" s="33" t="s">
        <v>823</v>
      </c>
      <c r="D184" s="33"/>
      <c r="E184" s="131">
        <f>Loomakasvatus!D312</f>
        <v>0</v>
      </c>
      <c r="F184" t="s">
        <v>135</v>
      </c>
      <c r="G184" t="s">
        <v>808</v>
      </c>
      <c r="H184">
        <f>(1-E194)*E180*'M1 - TK'!B25*'M1 - TK'!B20*(44/28)</f>
        <v>0</v>
      </c>
      <c r="AY184" s="20">
        <f>Taimekasvatus!E78</f>
        <v>0</v>
      </c>
      <c r="AZ184">
        <f>Taimekasvatus!H78</f>
        <v>0</v>
      </c>
      <c r="BA184">
        <f>Taimekasvatus!F78/1000</f>
        <v>0</v>
      </c>
      <c r="BB184">
        <f>IFERROR(VLOOKUP(AZ184,EFid!$A$432:$B$501,2,FALSE),0)</f>
        <v>0</v>
      </c>
      <c r="BC184">
        <f t="shared" si="175"/>
        <v>0</v>
      </c>
      <c r="BD184" s="21"/>
      <c r="BH184" s="20">
        <v>0</v>
      </c>
      <c r="BI184">
        <v>0</v>
      </c>
      <c r="BJ184">
        <v>0</v>
      </c>
      <c r="BK184">
        <f>IFERROR(VLOOKUP(BJ184,EFid!$A$432:$B$501,2,FALSE),0)</f>
        <v>0</v>
      </c>
      <c r="BL184">
        <f t="shared" si="176"/>
        <v>0</v>
      </c>
      <c r="BN184" s="20">
        <v>0</v>
      </c>
      <c r="BO184">
        <v>0</v>
      </c>
      <c r="BP184">
        <v>0</v>
      </c>
      <c r="BQ184">
        <f>IFERROR(VLOOKUP(BP184,EFid!$A$432:$B$501,2,FALSE),0)</f>
        <v>0</v>
      </c>
      <c r="BR184">
        <f t="shared" si="177"/>
        <v>0</v>
      </c>
      <c r="BS184" s="21"/>
      <c r="BT184" s="20">
        <v>0</v>
      </c>
      <c r="BU184">
        <v>0</v>
      </c>
      <c r="BV184">
        <v>0</v>
      </c>
      <c r="BW184">
        <f>IFERROR(VLOOKUP(BV184,EFid!$A$432:$B$501,2,FALSE),0)</f>
        <v>0</v>
      </c>
      <c r="BX184">
        <f t="shared" si="178"/>
        <v>0</v>
      </c>
      <c r="BY184" s="21"/>
    </row>
    <row r="185" spans="2:77" ht="15" thickBot="1">
      <c r="B185" s="58"/>
      <c r="C185" s="36" t="s">
        <v>750</v>
      </c>
      <c r="D185" s="36"/>
      <c r="E185" s="200">
        <v>2.8799999999999999E-2</v>
      </c>
      <c r="F185" t="s">
        <v>747</v>
      </c>
      <c r="G185" t="s">
        <v>810</v>
      </c>
      <c r="H185">
        <f>(1-E194)*E180*'M1 - TK'!B27*'M1 - TK'!B21*(44/28)</f>
        <v>0</v>
      </c>
      <c r="AY185" s="20">
        <f>Taimekasvatus!E79</f>
        <v>0</v>
      </c>
      <c r="AZ185">
        <f>Taimekasvatus!H79</f>
        <v>0</v>
      </c>
      <c r="BA185">
        <f>Taimekasvatus!F79/1000</f>
        <v>0</v>
      </c>
      <c r="BB185">
        <f>IFERROR(VLOOKUP(AZ185,EFid!$A$432:$B$501,2,FALSE),0)</f>
        <v>0</v>
      </c>
      <c r="BC185">
        <f t="shared" si="175"/>
        <v>0</v>
      </c>
      <c r="BD185" s="21"/>
      <c r="BH185" s="20">
        <v>0</v>
      </c>
      <c r="BI185">
        <v>0</v>
      </c>
      <c r="BJ185">
        <v>0</v>
      </c>
      <c r="BK185">
        <f>IFERROR(VLOOKUP(BJ185,EFid!$A$432:$B$501,2,FALSE),0)</f>
        <v>0</v>
      </c>
      <c r="BL185">
        <f t="shared" si="176"/>
        <v>0</v>
      </c>
      <c r="BN185" s="20">
        <v>0</v>
      </c>
      <c r="BO185">
        <v>0</v>
      </c>
      <c r="BP185">
        <v>0</v>
      </c>
      <c r="BQ185">
        <f>IFERROR(VLOOKUP(BP185,EFid!$A$432:$B$501,2,FALSE),0)</f>
        <v>0</v>
      </c>
      <c r="BR185">
        <f t="shared" si="177"/>
        <v>0</v>
      </c>
      <c r="BS185" s="21"/>
      <c r="BT185" s="20">
        <v>0</v>
      </c>
      <c r="BU185">
        <v>0</v>
      </c>
      <c r="BV185">
        <v>0</v>
      </c>
      <c r="BW185">
        <f>IFERROR(VLOOKUP(BV185,EFid!$A$432:$B$501,2,FALSE),0)</f>
        <v>0</v>
      </c>
      <c r="BX185">
        <f t="shared" si="178"/>
        <v>0</v>
      </c>
      <c r="BY185" s="21"/>
    </row>
    <row r="186" spans="2:77" ht="15" thickBot="1">
      <c r="B186" s="1341" t="s">
        <v>751</v>
      </c>
      <c r="C186" s="1341"/>
      <c r="D186" s="1341"/>
      <c r="E186" s="1341"/>
      <c r="G186" t="s">
        <v>812</v>
      </c>
      <c r="H186">
        <f>SUM(H183:H185)</f>
        <v>0</v>
      </c>
      <c r="AY186" s="20">
        <f>Taimekasvatus!E80</f>
        <v>0</v>
      </c>
      <c r="AZ186">
        <f>Taimekasvatus!H80</f>
        <v>0</v>
      </c>
      <c r="BA186">
        <f>Taimekasvatus!F80/1000</f>
        <v>0</v>
      </c>
      <c r="BB186">
        <f>IFERROR(VLOOKUP(AZ186,EFid!$A$432:$B$501,2,FALSE),0)</f>
        <v>0</v>
      </c>
      <c r="BC186">
        <f t="shared" si="175"/>
        <v>0</v>
      </c>
      <c r="BD186" s="21"/>
      <c r="BH186" s="20">
        <v>0</v>
      </c>
      <c r="BI186">
        <v>0</v>
      </c>
      <c r="BJ186">
        <v>0</v>
      </c>
      <c r="BK186">
        <f>IFERROR(VLOOKUP(BJ186,EFid!$A$432:$B$501,2,FALSE),0)</f>
        <v>0</v>
      </c>
      <c r="BL186">
        <f t="shared" si="176"/>
        <v>0</v>
      </c>
      <c r="BN186" s="20">
        <v>0</v>
      </c>
      <c r="BO186">
        <v>0</v>
      </c>
      <c r="BP186">
        <v>0</v>
      </c>
      <c r="BQ186">
        <f>IFERROR(VLOOKUP(BP186,EFid!$A$432:$B$501,2,FALSE),0)</f>
        <v>0</v>
      </c>
      <c r="BR186">
        <f t="shared" si="177"/>
        <v>0</v>
      </c>
      <c r="BS186" s="21"/>
      <c r="BT186" s="20">
        <v>0</v>
      </c>
      <c r="BU186">
        <v>0</v>
      </c>
      <c r="BV186">
        <v>0</v>
      </c>
      <c r="BW186">
        <f>IFERROR(VLOOKUP(BV186,EFid!$A$432:$B$501,2,FALSE),0)</f>
        <v>0</v>
      </c>
      <c r="BX186">
        <f t="shared" si="178"/>
        <v>0</v>
      </c>
      <c r="BY186" s="21"/>
    </row>
    <row r="187" spans="2:77">
      <c r="B187" s="372" t="s">
        <v>754</v>
      </c>
      <c r="C187" s="373"/>
      <c r="D187" s="373"/>
      <c r="E187" s="374"/>
      <c r="AY187" s="20" t="str">
        <f>Taimekasvatus!E81</f>
        <v>Muud väetised</v>
      </c>
      <c r="AZ187" t="str">
        <f>Taimekasvatus!H81</f>
        <v>Päritolumaa</v>
      </c>
      <c r="BA187" t="str">
        <f>Taimekasvatus!F81</f>
        <v>Väetise kogus (kg)</v>
      </c>
      <c r="BB187">
        <f>IFERROR(VLOOKUP(AZ187,EFid!$A$432:$B$501,2,FALSE),0)</f>
        <v>0</v>
      </c>
      <c r="BD187" s="21"/>
      <c r="BH187" s="80" t="s">
        <v>256</v>
      </c>
      <c r="BN187" s="20">
        <v>0</v>
      </c>
      <c r="BO187">
        <v>0</v>
      </c>
      <c r="BP187">
        <v>0</v>
      </c>
      <c r="BQ187">
        <f>IFERROR(VLOOKUP(BP187,EFid!$A$432:$B$501,2,FALSE),0)</f>
        <v>0</v>
      </c>
      <c r="BR187">
        <f t="shared" si="177"/>
        <v>0</v>
      </c>
      <c r="BS187" s="21"/>
      <c r="BT187" s="20">
        <v>0</v>
      </c>
      <c r="BU187">
        <v>0</v>
      </c>
      <c r="BV187">
        <v>0</v>
      </c>
      <c r="BW187">
        <f>IFERROR(VLOOKUP(BV187,EFid!$A$432:$B$501,2,FALSE),0)</f>
        <v>0</v>
      </c>
      <c r="BX187">
        <f t="shared" si="178"/>
        <v>0</v>
      </c>
      <c r="BY187" s="21"/>
    </row>
    <row r="188" spans="2:77">
      <c r="B188" s="375" t="s">
        <v>742</v>
      </c>
      <c r="C188" s="368" t="s">
        <v>743</v>
      </c>
      <c r="D188" s="368"/>
      <c r="E188" s="376">
        <f>E189*E190</f>
        <v>0</v>
      </c>
      <c r="F188" t="s">
        <v>135</v>
      </c>
      <c r="AY188" s="20">
        <f>Taimekasvatus!E82</f>
        <v>0</v>
      </c>
      <c r="AZ188">
        <f>Taimekasvatus!H82</f>
        <v>0</v>
      </c>
      <c r="BA188">
        <f>Taimekasvatus!F82/1000</f>
        <v>0</v>
      </c>
      <c r="BB188">
        <f>IFERROR(VLOOKUP(AZ188,EFid!$A$432:$B$501,2,FALSE),0)</f>
        <v>0</v>
      </c>
      <c r="BC188">
        <f t="shared" si="175"/>
        <v>0</v>
      </c>
      <c r="BD188" s="21"/>
      <c r="BH188" s="20" cm="1">
        <f t="array" ref="BH188:BH197">Loomakasvatus!C258:C267</f>
        <v>0</v>
      </c>
      <c r="BI188" cm="1">
        <f t="array" ref="BI188:BI197">Loomakasvatus!D258:D267/1000</f>
        <v>0</v>
      </c>
      <c r="BJ188" cm="1">
        <f t="array" ref="BJ188:BJ197">Loomakasvatus!E258:E267</f>
        <v>0</v>
      </c>
      <c r="BK188">
        <f>IFERROR(VLOOKUP(BJ188,EFid!$A$432:$B$501,2,FALSE),0)</f>
        <v>0</v>
      </c>
      <c r="BL188">
        <f t="shared" si="176"/>
        <v>0</v>
      </c>
      <c r="BM188" s="444">
        <f>SUM(BL188:BL197)</f>
        <v>0</v>
      </c>
      <c r="BN188" s="20">
        <v>0</v>
      </c>
      <c r="BO188">
        <v>0</v>
      </c>
      <c r="BP188">
        <v>0</v>
      </c>
      <c r="BQ188">
        <f>IFERROR(VLOOKUP(BP188,EFid!$A$432:$B$501,2,FALSE),0)</f>
        <v>0</v>
      </c>
      <c r="BR188">
        <f t="shared" si="177"/>
        <v>0</v>
      </c>
      <c r="BS188" s="21"/>
      <c r="BT188" s="80" t="s">
        <v>256</v>
      </c>
      <c r="BY188" s="21"/>
    </row>
    <row r="189" spans="2:77">
      <c r="B189" s="377" t="s">
        <v>446</v>
      </c>
      <c r="C189" s="378" t="s">
        <v>755</v>
      </c>
      <c r="D189" s="368"/>
      <c r="E189" s="379">
        <f>Loomakasvatus!D345</f>
        <v>0</v>
      </c>
      <c r="F189" t="s">
        <v>299</v>
      </c>
      <c r="AY189" s="20">
        <f>Taimekasvatus!E83</f>
        <v>0</v>
      </c>
      <c r="AZ189">
        <f>Taimekasvatus!H83</f>
        <v>0</v>
      </c>
      <c r="BA189">
        <f>Taimekasvatus!F83/1000</f>
        <v>0</v>
      </c>
      <c r="BB189">
        <f>IFERROR(VLOOKUP(AZ189,EFid!$A$432:$B$501,2,FALSE),0)</f>
        <v>0</v>
      </c>
      <c r="BC189">
        <f t="shared" si="175"/>
        <v>0</v>
      </c>
      <c r="BD189" s="21"/>
      <c r="BH189" s="20">
        <v>0</v>
      </c>
      <c r="BI189">
        <v>0</v>
      </c>
      <c r="BJ189">
        <v>0</v>
      </c>
      <c r="BK189">
        <f>IFERROR(VLOOKUP(BJ189,EFid!$A$432:$B$501,2,FALSE),0)</f>
        <v>0</v>
      </c>
      <c r="BL189">
        <f t="shared" si="176"/>
        <v>0</v>
      </c>
      <c r="BN189" s="80" t="s">
        <v>256</v>
      </c>
      <c r="BS189" s="21"/>
      <c r="BT189" s="20" cm="1">
        <f t="array" ref="BT189:BT201">Loomakasvatus!C442:C454</f>
        <v>0</v>
      </c>
      <c r="BU189" s="75" cm="1">
        <f t="array" ref="BU189:BU201">Loomakasvatus!D442:D454/1000</f>
        <v>0</v>
      </c>
      <c r="BV189" cm="1">
        <f t="array" ref="BV189:BV201">Loomakasvatus!E442:E454</f>
        <v>0</v>
      </c>
      <c r="BW189">
        <f>IFERROR(VLOOKUP(BV189,EFid!$A$432:$B$501,2,FALSE),0)</f>
        <v>0</v>
      </c>
      <c r="BX189">
        <f t="shared" si="178"/>
        <v>0</v>
      </c>
      <c r="BY189" s="445">
        <f>SUM(BX189:BX201)</f>
        <v>0</v>
      </c>
    </row>
    <row r="190" spans="2:77" ht="15" thickBot="1">
      <c r="B190" s="380" t="s">
        <v>756</v>
      </c>
      <c r="C190" s="381" t="s">
        <v>757</v>
      </c>
      <c r="D190" s="381"/>
      <c r="E190" s="376"/>
      <c r="F190" t="s">
        <v>758</v>
      </c>
      <c r="AY190" s="20">
        <f>Taimekasvatus!E84</f>
        <v>0</v>
      </c>
      <c r="AZ190">
        <f>Taimekasvatus!H84</f>
        <v>0</v>
      </c>
      <c r="BA190">
        <f>Taimekasvatus!F84/1000</f>
        <v>0</v>
      </c>
      <c r="BB190">
        <f>IFERROR(VLOOKUP(AZ190,EFid!$A$432:$B$501,2,FALSE),0)</f>
        <v>0</v>
      </c>
      <c r="BC190">
        <f t="shared" si="175"/>
        <v>0</v>
      </c>
      <c r="BD190" s="21"/>
      <c r="BH190" s="20">
        <v>0</v>
      </c>
      <c r="BI190">
        <v>0</v>
      </c>
      <c r="BJ190">
        <v>0</v>
      </c>
      <c r="BK190">
        <f>IFERROR(VLOOKUP(BJ190,EFid!$A$432:$B$501,2,FALSE),0)</f>
        <v>0</v>
      </c>
      <c r="BL190">
        <f t="shared" si="176"/>
        <v>0</v>
      </c>
      <c r="BN190" s="20" cm="1">
        <f t="array" ref="BN190:BN203">Loomakasvatus!C160:C173</f>
        <v>0</v>
      </c>
      <c r="BO190" cm="1">
        <f t="array" ref="BO190:BO203">Loomakasvatus!D160:D173/1000</f>
        <v>0</v>
      </c>
      <c r="BP190" cm="1">
        <f t="array" ref="BP190:BP203">Loomakasvatus!E160:E173</f>
        <v>0</v>
      </c>
      <c r="BQ190">
        <f>IFERROR(VLOOKUP(BP190,EFid!$A$432:$B$501,2,FALSE),0)</f>
        <v>0</v>
      </c>
      <c r="BR190">
        <f t="shared" si="177"/>
        <v>0</v>
      </c>
      <c r="BS190" s="445">
        <f>SUM(BR190:BR203)</f>
        <v>0</v>
      </c>
      <c r="BT190" s="20">
        <v>0</v>
      </c>
      <c r="BU190">
        <v>0</v>
      </c>
      <c r="BV190">
        <v>0</v>
      </c>
      <c r="BW190">
        <f>IFERROR(VLOOKUP(BV190,EFid!$A$432:$B$501,2,FALSE),0)</f>
        <v>0</v>
      </c>
      <c r="BX190">
        <f t="shared" si="178"/>
        <v>0</v>
      </c>
      <c r="BY190" s="21"/>
    </row>
    <row r="191" spans="2:77" ht="15" thickBot="1">
      <c r="B191" s="1340" t="s">
        <v>759</v>
      </c>
      <c r="C191" s="1340"/>
      <c r="D191" s="1340"/>
      <c r="E191" s="1340"/>
      <c r="AY191" s="20" t="str">
        <f>Taimekasvatus!E85</f>
        <v>Väetised, mille toote süsiniku jalajälg on teada</v>
      </c>
      <c r="AZ191" t="str">
        <f>Taimekasvatus!H85</f>
        <v>Päritolumaa</v>
      </c>
      <c r="BA191" t="str">
        <f>Taimekasvatus!F85</f>
        <v>Kogus (kg)</v>
      </c>
      <c r="BB191">
        <f>IFERROR(VLOOKUP(AZ191,EFid!$A$432:$B$501,2,FALSE),0)</f>
        <v>0</v>
      </c>
      <c r="BD191" s="21"/>
      <c r="BH191" s="20">
        <v>0</v>
      </c>
      <c r="BI191">
        <v>0</v>
      </c>
      <c r="BJ191">
        <v>0</v>
      </c>
      <c r="BK191">
        <f>IFERROR(VLOOKUP(BJ191,EFid!$A$432:$B$501,2,FALSE),0)</f>
        <v>0</v>
      </c>
      <c r="BL191">
        <f t="shared" si="176"/>
        <v>0</v>
      </c>
      <c r="BN191" s="20">
        <v>0</v>
      </c>
      <c r="BO191">
        <v>0</v>
      </c>
      <c r="BP191">
        <v>0</v>
      </c>
      <c r="BQ191">
        <f>IFERROR(VLOOKUP(BP191,EFid!$A$432:$B$501,2,FALSE),0)</f>
        <v>0</v>
      </c>
      <c r="BR191">
        <f t="shared" si="177"/>
        <v>0</v>
      </c>
      <c r="BS191" s="21"/>
      <c r="BT191" s="20">
        <v>0</v>
      </c>
      <c r="BU191">
        <v>0</v>
      </c>
      <c r="BV191">
        <v>0</v>
      </c>
      <c r="BW191">
        <f>IFERROR(VLOOKUP(BV191,EFid!$A$432:$B$501,2,FALSE),0)</f>
        <v>0</v>
      </c>
      <c r="BX191">
        <f t="shared" si="178"/>
        <v>0</v>
      </c>
      <c r="BY191" s="21"/>
    </row>
    <row r="192" spans="2:77">
      <c r="B192" s="188" t="s">
        <v>760</v>
      </c>
      <c r="C192" s="189"/>
      <c r="D192" s="189"/>
      <c r="E192" s="190"/>
      <c r="AY192" s="20">
        <f>Taimekasvatus!E86</f>
        <v>0</v>
      </c>
      <c r="AZ192">
        <f>Taimekasvatus!H86</f>
        <v>0</v>
      </c>
      <c r="BA192">
        <f>Taimekasvatus!F86/1000</f>
        <v>0</v>
      </c>
      <c r="BB192">
        <f>IFERROR(VLOOKUP(AZ192,EFid!$A$432:$B$501,2,FALSE),0)</f>
        <v>0</v>
      </c>
      <c r="BC192">
        <f t="shared" si="175"/>
        <v>0</v>
      </c>
      <c r="BD192" s="21"/>
      <c r="BH192" s="20">
        <v>0</v>
      </c>
      <c r="BI192">
        <v>0</v>
      </c>
      <c r="BJ192">
        <v>0</v>
      </c>
      <c r="BK192">
        <f>IFERROR(VLOOKUP(BJ192,EFid!$A$432:$B$501,2,FALSE),0)</f>
        <v>0</v>
      </c>
      <c r="BL192">
        <f t="shared" si="176"/>
        <v>0</v>
      </c>
      <c r="BN192" s="80">
        <v>0</v>
      </c>
      <c r="BO192" s="1">
        <v>0</v>
      </c>
      <c r="BP192">
        <v>0</v>
      </c>
      <c r="BQ192">
        <f>IFERROR(VLOOKUP(BP192,EFid!$A$432:$B$501,2,FALSE),0)</f>
        <v>0</v>
      </c>
      <c r="BR192">
        <f t="shared" si="177"/>
        <v>0</v>
      </c>
      <c r="BS192" s="21"/>
      <c r="BT192" s="20">
        <v>0</v>
      </c>
      <c r="BU192">
        <v>0</v>
      </c>
      <c r="BV192">
        <v>0</v>
      </c>
      <c r="BW192">
        <f>IFERROR(VLOOKUP(BV192,EFid!$A$432:$B$501,2,FALSE),0)</f>
        <v>0</v>
      </c>
      <c r="BX192">
        <f t="shared" si="178"/>
        <v>0</v>
      </c>
      <c r="BY192" s="21"/>
    </row>
    <row r="193" spans="2:77">
      <c r="B193" s="188" t="s">
        <v>761</v>
      </c>
      <c r="C193" s="189"/>
      <c r="D193" s="189"/>
      <c r="E193" s="190"/>
      <c r="AY193" s="20">
        <f>Taimekasvatus!E87</f>
        <v>0</v>
      </c>
      <c r="AZ193">
        <f>Taimekasvatus!H87</f>
        <v>0</v>
      </c>
      <c r="BA193">
        <f>Taimekasvatus!F87/1000</f>
        <v>0</v>
      </c>
      <c r="BB193">
        <f>IFERROR(VLOOKUP(AZ193,EFid!$A$432:$B$501,2,FALSE),0)</f>
        <v>0</v>
      </c>
      <c r="BC193">
        <f t="shared" si="175"/>
        <v>0</v>
      </c>
      <c r="BD193" s="21"/>
      <c r="BH193" s="20">
        <v>0</v>
      </c>
      <c r="BI193">
        <v>0</v>
      </c>
      <c r="BJ193">
        <v>0</v>
      </c>
      <c r="BK193">
        <f>IFERROR(VLOOKUP(BJ193,EFid!$A$432:$B$501,2,FALSE),0)</f>
        <v>0</v>
      </c>
      <c r="BL193">
        <f t="shared" si="176"/>
        <v>0</v>
      </c>
      <c r="BN193" s="20">
        <v>0</v>
      </c>
      <c r="BO193">
        <v>0</v>
      </c>
      <c r="BP193">
        <v>0</v>
      </c>
      <c r="BQ193">
        <f>IFERROR(VLOOKUP(BP193,EFid!$A$432:$B$501,2,FALSE),0)</f>
        <v>0</v>
      </c>
      <c r="BR193">
        <f t="shared" si="177"/>
        <v>0</v>
      </c>
      <c r="BS193" s="21"/>
      <c r="BT193" s="20">
        <v>0</v>
      </c>
      <c r="BU193">
        <v>0</v>
      </c>
      <c r="BV193">
        <v>0</v>
      </c>
      <c r="BW193">
        <f>IFERROR(VLOOKUP(BV193,EFid!$A$432:$B$501,2,FALSE),0)</f>
        <v>0</v>
      </c>
      <c r="BX193">
        <f t="shared" si="178"/>
        <v>0</v>
      </c>
      <c r="BY193" s="21"/>
    </row>
    <row r="194" spans="2:77">
      <c r="B194" s="32" t="s">
        <v>762</v>
      </c>
      <c r="C194" s="33" t="s">
        <v>763</v>
      </c>
      <c r="D194" s="33"/>
      <c r="E194" s="187">
        <f>1-(E195/365*E196/24)</f>
        <v>1</v>
      </c>
      <c r="AY194" s="20">
        <f>Taimekasvatus!E88</f>
        <v>0</v>
      </c>
      <c r="AZ194">
        <f>Taimekasvatus!H88</f>
        <v>0</v>
      </c>
      <c r="BA194">
        <f>Taimekasvatus!F88/1000</f>
        <v>0</v>
      </c>
      <c r="BB194">
        <f>IFERROR(VLOOKUP(AZ194,EFid!$A$432:$B$501,2,FALSE),0)</f>
        <v>0</v>
      </c>
      <c r="BC194">
        <f t="shared" si="175"/>
        <v>0</v>
      </c>
      <c r="BD194" s="21"/>
      <c r="BH194" s="20">
        <v>0</v>
      </c>
      <c r="BI194">
        <v>0</v>
      </c>
      <c r="BJ194">
        <v>0</v>
      </c>
      <c r="BK194">
        <f>IFERROR(VLOOKUP(BJ194,EFid!$A$432:$B$501,2,FALSE),0)</f>
        <v>0</v>
      </c>
      <c r="BL194">
        <f t="shared" si="176"/>
        <v>0</v>
      </c>
      <c r="BN194" s="20">
        <v>0</v>
      </c>
      <c r="BO194">
        <v>0</v>
      </c>
      <c r="BP194">
        <v>0</v>
      </c>
      <c r="BQ194">
        <f>IFERROR(VLOOKUP(BP194,EFid!$A$432:$B$501,2,FALSE),0)</f>
        <v>0</v>
      </c>
      <c r="BR194">
        <f t="shared" si="177"/>
        <v>0</v>
      </c>
      <c r="BS194" s="21"/>
      <c r="BT194" s="20">
        <v>0</v>
      </c>
      <c r="BU194">
        <v>0</v>
      </c>
      <c r="BV194">
        <v>0</v>
      </c>
      <c r="BW194">
        <f>IFERROR(VLOOKUP(BV194,EFid!$A$432:$B$501,2,FALSE),0)</f>
        <v>0</v>
      </c>
      <c r="BX194">
        <f t="shared" si="178"/>
        <v>0</v>
      </c>
      <c r="BY194" s="21"/>
    </row>
    <row r="195" spans="2:77">
      <c r="B195" s="32" t="s">
        <v>764</v>
      </c>
      <c r="C195" s="33" t="s">
        <v>765</v>
      </c>
      <c r="D195" s="33"/>
      <c r="E195" s="131">
        <f>Loomakasvatus!D313</f>
        <v>0</v>
      </c>
      <c r="AY195" s="20">
        <f>Taimekasvatus!E89</f>
        <v>0</v>
      </c>
      <c r="AZ195">
        <f>Taimekasvatus!H89</f>
        <v>0</v>
      </c>
      <c r="BA195">
        <f>Taimekasvatus!F89/1000</f>
        <v>0</v>
      </c>
      <c r="BB195">
        <f>IFERROR(VLOOKUP(AZ195,EFid!$A$432:$B$501,2,FALSE),0)</f>
        <v>0</v>
      </c>
      <c r="BC195">
        <f t="shared" si="175"/>
        <v>0</v>
      </c>
      <c r="BD195" s="21"/>
      <c r="BH195" s="20">
        <v>0</v>
      </c>
      <c r="BI195">
        <v>0</v>
      </c>
      <c r="BJ195">
        <v>0</v>
      </c>
      <c r="BK195">
        <f>IFERROR(VLOOKUP(BJ195,EFid!$A$432:$B$501,2,FALSE),0)</f>
        <v>0</v>
      </c>
      <c r="BL195">
        <f t="shared" si="176"/>
        <v>0</v>
      </c>
      <c r="BN195" s="20">
        <v>0</v>
      </c>
      <c r="BO195">
        <v>0</v>
      </c>
      <c r="BP195">
        <v>0</v>
      </c>
      <c r="BQ195">
        <f>IFERROR(VLOOKUP(BP195,EFid!$A$432:$B$501,2,FALSE),0)</f>
        <v>0</v>
      </c>
      <c r="BR195">
        <f t="shared" si="177"/>
        <v>0</v>
      </c>
      <c r="BS195" s="21"/>
      <c r="BT195" s="20">
        <v>0</v>
      </c>
      <c r="BU195">
        <v>0</v>
      </c>
      <c r="BV195">
        <v>0</v>
      </c>
      <c r="BW195">
        <f>IFERROR(VLOOKUP(BV195,EFid!$A$432:$B$501,2,FALSE),0)</f>
        <v>0</v>
      </c>
      <c r="BX195">
        <f t="shared" si="178"/>
        <v>0</v>
      </c>
      <c r="BY195" s="21"/>
    </row>
    <row r="196" spans="2:77">
      <c r="B196" s="32" t="s">
        <v>766</v>
      </c>
      <c r="C196" s="33" t="s">
        <v>767</v>
      </c>
      <c r="D196" s="33"/>
      <c r="E196" s="131">
        <f>Loomakasvatus!D314</f>
        <v>0</v>
      </c>
      <c r="AY196" s="20" t="str">
        <f>Taimekasvatus!E90</f>
        <v>Herbitsiidi nimi</v>
      </c>
      <c r="BB196">
        <f>IFERROR(VLOOKUP(AZ196,EFid!$A$432:$B$501,2,FALSE),0)</f>
        <v>0</v>
      </c>
      <c r="BC196">
        <f t="shared" si="175"/>
        <v>0</v>
      </c>
      <c r="BD196" s="445">
        <f>SUM(BC197:BC244)</f>
        <v>0</v>
      </c>
      <c r="BH196" s="20">
        <v>0</v>
      </c>
      <c r="BI196">
        <v>0</v>
      </c>
      <c r="BJ196">
        <v>0</v>
      </c>
      <c r="BK196">
        <f>IFERROR(VLOOKUP(BJ196,EFid!$A$432:$B$501,2,FALSE),0)</f>
        <v>0</v>
      </c>
      <c r="BL196">
        <f t="shared" si="176"/>
        <v>0</v>
      </c>
      <c r="BN196" s="20">
        <v>0</v>
      </c>
      <c r="BO196">
        <v>0</v>
      </c>
      <c r="BP196">
        <v>0</v>
      </c>
      <c r="BQ196">
        <f>IFERROR(VLOOKUP(BP196,EFid!$A$432:$B$501,2,FALSE),0)</f>
        <v>0</v>
      </c>
      <c r="BR196">
        <f t="shared" si="177"/>
        <v>0</v>
      </c>
      <c r="BS196" s="21"/>
      <c r="BT196" s="20">
        <v>0</v>
      </c>
      <c r="BU196">
        <v>0</v>
      </c>
      <c r="BV196">
        <v>0</v>
      </c>
      <c r="BW196">
        <f>IFERROR(VLOOKUP(BV196,EFid!$A$432:$B$501,2,FALSE),0)</f>
        <v>0</v>
      </c>
      <c r="BX196">
        <f t="shared" si="178"/>
        <v>0</v>
      </c>
      <c r="BY196" s="21"/>
    </row>
    <row r="197" spans="2:77" ht="15" thickBot="1">
      <c r="B197" s="188" t="s">
        <v>768</v>
      </c>
      <c r="C197" s="189"/>
      <c r="D197" s="189"/>
      <c r="E197" s="190"/>
      <c r="AY197" s="20">
        <f>Taimekasvatus!E91</f>
        <v>0</v>
      </c>
      <c r="AZ197">
        <f>IFERROR(VLOOKUP(AY197,'EFid TK'!$J$116:$M$165,4,FALSE),0)</f>
        <v>0</v>
      </c>
      <c r="BA197">
        <f>Taimekasvatus!G91/1000</f>
        <v>0</v>
      </c>
      <c r="BB197">
        <f>IFERROR(VLOOKUP(AZ197,EFid!$A$432:$B$501,2,FALSE),0)</f>
        <v>0</v>
      </c>
      <c r="BC197">
        <f t="shared" si="175"/>
        <v>0</v>
      </c>
      <c r="BD197" s="21"/>
      <c r="BH197" s="58">
        <v>0</v>
      </c>
      <c r="BI197" s="36">
        <v>0</v>
      </c>
      <c r="BJ197" s="36">
        <v>0</v>
      </c>
      <c r="BK197" s="36">
        <f>IFERROR(VLOOKUP(BJ197,EFid!$A$432:$B$501,2,FALSE),0)</f>
        <v>0</v>
      </c>
      <c r="BL197" s="36">
        <f t="shared" si="176"/>
        <v>0</v>
      </c>
      <c r="BM197" s="36"/>
      <c r="BN197" s="20">
        <v>0</v>
      </c>
      <c r="BO197">
        <v>0</v>
      </c>
      <c r="BP197">
        <v>0</v>
      </c>
      <c r="BQ197">
        <f>IFERROR(VLOOKUP(BP197,EFid!$A$432:$B$501,2,FALSE),0)</f>
        <v>0</v>
      </c>
      <c r="BR197">
        <f t="shared" si="177"/>
        <v>0</v>
      </c>
      <c r="BS197" s="21"/>
      <c r="BT197" s="20">
        <v>0</v>
      </c>
      <c r="BU197">
        <v>0</v>
      </c>
      <c r="BV197">
        <v>0</v>
      </c>
      <c r="BW197">
        <f>IFERROR(VLOOKUP(BV197,EFid!$A$432:$B$501,2,FALSE),0)</f>
        <v>0</v>
      </c>
      <c r="BX197">
        <f t="shared" si="178"/>
        <v>0</v>
      </c>
      <c r="BY197" s="21"/>
    </row>
    <row r="198" spans="2:77">
      <c r="B198" s="188" t="s">
        <v>769</v>
      </c>
      <c r="C198" s="189"/>
      <c r="D198" s="189"/>
      <c r="E198" s="190"/>
      <c r="AY198" s="20">
        <f>Taimekasvatus!E92</f>
        <v>0</v>
      </c>
      <c r="AZ198">
        <f>IFERROR(VLOOKUP(AY198,'EFid TK'!$J$116:$M$165,4,FALSE),0)</f>
        <v>0</v>
      </c>
      <c r="BA198">
        <f>Taimekasvatus!G92/1000</f>
        <v>0</v>
      </c>
      <c r="BB198">
        <f>IFERROR(VLOOKUP(AZ198,EFid!$A$432:$B$501,2,FALSE),0)</f>
        <v>0</v>
      </c>
      <c r="BC198">
        <f t="shared" si="175"/>
        <v>0</v>
      </c>
      <c r="BD198" s="21"/>
      <c r="BN198" s="20">
        <v>0</v>
      </c>
      <c r="BO198">
        <v>0</v>
      </c>
      <c r="BP198">
        <v>0</v>
      </c>
      <c r="BQ198">
        <f>IFERROR(VLOOKUP(BP198,EFid!$A$432:$B$501,2,FALSE),0)</f>
        <v>0</v>
      </c>
      <c r="BR198">
        <f t="shared" si="177"/>
        <v>0</v>
      </c>
      <c r="BS198" s="21"/>
      <c r="BT198" s="20">
        <v>0</v>
      </c>
      <c r="BU198">
        <v>0</v>
      </c>
      <c r="BV198">
        <v>0</v>
      </c>
      <c r="BW198">
        <f>IFERROR(VLOOKUP(BV198,EFid!$A$432:$B$501,2,FALSE),0)</f>
        <v>0</v>
      </c>
      <c r="BX198">
        <f t="shared" si="178"/>
        <v>0</v>
      </c>
      <c r="BY198" s="21"/>
    </row>
    <row r="199" spans="2:77">
      <c r="B199" s="20" t="s">
        <v>770</v>
      </c>
      <c r="C199" t="s">
        <v>771</v>
      </c>
      <c r="E199" s="186" t="e">
        <f>E200*E201/100*E204</f>
        <v>#N/A</v>
      </c>
      <c r="F199" t="s">
        <v>772</v>
      </c>
      <c r="AY199" s="20">
        <f>Taimekasvatus!E93</f>
        <v>0</v>
      </c>
      <c r="AZ199">
        <f>IFERROR(VLOOKUP(AY199,'EFid TK'!$J$116:$M$165,4,FALSE),0)</f>
        <v>0</v>
      </c>
      <c r="BA199">
        <f>Taimekasvatus!G93/1000</f>
        <v>0</v>
      </c>
      <c r="BB199">
        <f>IFERROR(VLOOKUP(AZ199,EFid!$A$432:$B$501,2,FALSE),0)</f>
        <v>0</v>
      </c>
      <c r="BC199">
        <f t="shared" si="175"/>
        <v>0</v>
      </c>
      <c r="BD199" s="21"/>
      <c r="BN199" s="20">
        <v>0</v>
      </c>
      <c r="BO199">
        <v>0</v>
      </c>
      <c r="BP199">
        <v>0</v>
      </c>
      <c r="BQ199">
        <f>IFERROR(VLOOKUP(BP199,EFid!$A$432:$B$501,2,FALSE),0)</f>
        <v>0</v>
      </c>
      <c r="BR199">
        <f t="shared" si="177"/>
        <v>0</v>
      </c>
      <c r="BS199" s="21"/>
      <c r="BT199" s="20">
        <v>0</v>
      </c>
      <c r="BU199">
        <v>0</v>
      </c>
      <c r="BV199">
        <v>0</v>
      </c>
      <c r="BW199">
        <f>IFERROR(VLOOKUP(BV199,EFid!$A$432:$B$501,2,FALSE),0)</f>
        <v>0</v>
      </c>
      <c r="BX199">
        <f t="shared" si="178"/>
        <v>0</v>
      </c>
      <c r="BY199" s="21"/>
    </row>
    <row r="200" spans="2:77">
      <c r="B200" s="20" t="s">
        <v>742</v>
      </c>
      <c r="C200" t="s">
        <v>743</v>
      </c>
      <c r="E200" s="186">
        <f>E180</f>
        <v>0</v>
      </c>
      <c r="F200" t="s">
        <v>135</v>
      </c>
      <c r="AY200" s="20">
        <f>Taimekasvatus!E94</f>
        <v>0</v>
      </c>
      <c r="AZ200">
        <f>IFERROR(VLOOKUP(AY200,'EFid TK'!$J$116:$M$165,4,FALSE),0)</f>
        <v>0</v>
      </c>
      <c r="BA200">
        <f>Taimekasvatus!G94/1000</f>
        <v>0</v>
      </c>
      <c r="BB200">
        <f>IFERROR(VLOOKUP(AZ200,EFid!$A$432:$B$501,2,FALSE),0)</f>
        <v>0</v>
      </c>
      <c r="BC200">
        <f t="shared" si="175"/>
        <v>0</v>
      </c>
      <c r="BD200" s="21"/>
      <c r="BN200" s="20">
        <v>0</v>
      </c>
      <c r="BO200">
        <v>0</v>
      </c>
      <c r="BP200">
        <v>0</v>
      </c>
      <c r="BQ200">
        <f>IFERROR(VLOOKUP(BP200,EFid!$A$432:$B$501,2,FALSE),0)</f>
        <v>0</v>
      </c>
      <c r="BR200">
        <f t="shared" si="177"/>
        <v>0</v>
      </c>
      <c r="BS200" s="21"/>
      <c r="BT200" s="20">
        <v>0</v>
      </c>
      <c r="BU200">
        <v>0</v>
      </c>
      <c r="BV200">
        <v>0</v>
      </c>
      <c r="BW200">
        <f>IFERROR(VLOOKUP(BV200,EFid!$A$432:$B$501,2,FALSE),0)</f>
        <v>0</v>
      </c>
      <c r="BX200">
        <f t="shared" si="178"/>
        <v>0</v>
      </c>
      <c r="BY200" s="21"/>
    </row>
    <row r="201" spans="2:77" ht="15" thickBot="1">
      <c r="B201" s="20" t="s">
        <v>773</v>
      </c>
      <c r="C201" t="s">
        <v>824</v>
      </c>
      <c r="E201" s="205" t="e">
        <f>VLOOKUP(Loomakasvatus!B303,'M1 - LK'!Y233:Z234, 2,FALSE)</f>
        <v>#N/A</v>
      </c>
      <c r="F201" t="s">
        <v>34</v>
      </c>
      <c r="AY201" s="20">
        <f>Taimekasvatus!E95</f>
        <v>0</v>
      </c>
      <c r="AZ201">
        <f>IFERROR(VLOOKUP(AY201,'EFid TK'!$J$116:$M$165,4,FALSE),0)</f>
        <v>0</v>
      </c>
      <c r="BA201">
        <f>Taimekasvatus!G95/1000</f>
        <v>0</v>
      </c>
      <c r="BB201">
        <f>IFERROR(VLOOKUP(AZ201,EFid!$A$432:$B$501,2,FALSE),0)</f>
        <v>0</v>
      </c>
      <c r="BC201">
        <f t="shared" si="175"/>
        <v>0</v>
      </c>
      <c r="BD201" s="21"/>
      <c r="BN201" s="20">
        <v>0</v>
      </c>
      <c r="BO201">
        <v>0</v>
      </c>
      <c r="BP201">
        <v>0</v>
      </c>
      <c r="BQ201">
        <f>IFERROR(VLOOKUP(BP201,EFid!$A$432:$B$501,2,FALSE),0)</f>
        <v>0</v>
      </c>
      <c r="BR201">
        <f t="shared" si="177"/>
        <v>0</v>
      </c>
      <c r="BS201" s="21"/>
      <c r="BT201" s="58">
        <v>0</v>
      </c>
      <c r="BU201" s="36">
        <v>0</v>
      </c>
      <c r="BV201" s="36">
        <v>0</v>
      </c>
      <c r="BW201" s="36">
        <f>IFERROR(VLOOKUP(BV201,EFid!$A$432:$B$501,2,FALSE),0)</f>
        <v>0</v>
      </c>
      <c r="BX201" s="36">
        <f t="shared" si="178"/>
        <v>0</v>
      </c>
      <c r="BY201" s="37"/>
    </row>
    <row r="202" spans="2:77">
      <c r="B202" s="20"/>
      <c r="E202" s="205"/>
      <c r="F202" t="s">
        <v>34</v>
      </c>
      <c r="AY202" s="20">
        <f>Taimekasvatus!E96</f>
        <v>0</v>
      </c>
      <c r="AZ202">
        <f>IFERROR(VLOOKUP(AY202,'EFid TK'!$J$116:$M$165,4,FALSE),0)</f>
        <v>0</v>
      </c>
      <c r="BA202">
        <f>Taimekasvatus!G96/1000</f>
        <v>0</v>
      </c>
      <c r="BB202">
        <f>IFERROR(VLOOKUP(AZ202,EFid!$A$432:$B$501,2,FALSE),0)</f>
        <v>0</v>
      </c>
      <c r="BC202">
        <f t="shared" si="175"/>
        <v>0</v>
      </c>
      <c r="BD202" s="21"/>
      <c r="BN202" s="20">
        <v>0</v>
      </c>
      <c r="BO202">
        <v>0</v>
      </c>
      <c r="BP202">
        <v>0</v>
      </c>
      <c r="BQ202">
        <f>IFERROR(VLOOKUP(BP202,EFid!$A$432:$B$501,2,FALSE),0)</f>
        <v>0</v>
      </c>
      <c r="BR202">
        <f t="shared" si="177"/>
        <v>0</v>
      </c>
      <c r="BS202" s="21"/>
    </row>
    <row r="203" spans="2:77" ht="15" thickBot="1">
      <c r="B203" s="20"/>
      <c r="E203" s="205"/>
      <c r="F203" t="s">
        <v>34</v>
      </c>
      <c r="AY203" s="20">
        <f>Taimekasvatus!E97</f>
        <v>0</v>
      </c>
      <c r="AZ203">
        <f>IFERROR(VLOOKUP(AY203,'EFid TK'!$J$116:$M$165,4,FALSE),0)</f>
        <v>0</v>
      </c>
      <c r="BA203">
        <f>Taimekasvatus!G97/1000</f>
        <v>0</v>
      </c>
      <c r="BB203">
        <f>IFERROR(VLOOKUP(AZ203,EFid!$A$432:$B$501,2,FALSE),0)</f>
        <v>0</v>
      </c>
      <c r="BC203">
        <f t="shared" si="175"/>
        <v>0</v>
      </c>
      <c r="BD203" s="21"/>
      <c r="BN203" s="58">
        <v>0</v>
      </c>
      <c r="BO203" s="36">
        <v>0</v>
      </c>
      <c r="BP203" s="36">
        <v>0</v>
      </c>
      <c r="BQ203" s="36">
        <f>IFERROR(VLOOKUP(BP203,EFid!$A$432:$B$501,2,FALSE),0)</f>
        <v>0</v>
      </c>
      <c r="BR203" s="36">
        <f t="shared" si="177"/>
        <v>0</v>
      </c>
      <c r="BS203" s="37"/>
    </row>
    <row r="204" spans="2:77">
      <c r="B204" s="344" t="s">
        <v>762</v>
      </c>
      <c r="C204" t="s">
        <v>763</v>
      </c>
      <c r="E204" s="186">
        <f>E194</f>
        <v>1</v>
      </c>
      <c r="AY204" s="20">
        <f>Taimekasvatus!E98</f>
        <v>0</v>
      </c>
      <c r="AZ204">
        <f>IFERROR(VLOOKUP(AY204,'EFid TK'!$J$116:$M$165,4,FALSE),0)</f>
        <v>0</v>
      </c>
      <c r="BA204">
        <f>Taimekasvatus!G98/1000</f>
        <v>0</v>
      </c>
      <c r="BB204">
        <f>IFERROR(VLOOKUP(AZ204,EFid!$A$432:$B$501,2,FALSE),0)</f>
        <v>0</v>
      </c>
      <c r="BC204">
        <f t="shared" si="175"/>
        <v>0</v>
      </c>
      <c r="BD204" s="21"/>
    </row>
    <row r="205" spans="2:77">
      <c r="B205" s="188" t="s">
        <v>778</v>
      </c>
      <c r="C205" s="189"/>
      <c r="D205" s="189"/>
      <c r="E205" s="190"/>
      <c r="AY205" s="20">
        <f>Taimekasvatus!E99</f>
        <v>0</v>
      </c>
      <c r="AZ205">
        <f>IFERROR(VLOOKUP(AY205,'EFid TK'!$J$116:$M$165,4,FALSE),0)</f>
        <v>0</v>
      </c>
      <c r="BA205">
        <f>Taimekasvatus!G99/1000</f>
        <v>0</v>
      </c>
      <c r="BB205">
        <f>IFERROR(VLOOKUP(AZ205,EFid!$A$432:$B$501,2,FALSE),0)</f>
        <v>0</v>
      </c>
      <c r="BC205">
        <f t="shared" si="175"/>
        <v>0</v>
      </c>
      <c r="BD205" s="21"/>
    </row>
    <row r="206" spans="2:77">
      <c r="B206" s="188" t="s">
        <v>779</v>
      </c>
      <c r="C206" s="189"/>
      <c r="D206" s="189"/>
      <c r="E206" s="190"/>
      <c r="AY206" s="20">
        <f>Taimekasvatus!E100</f>
        <v>0</v>
      </c>
      <c r="AZ206">
        <f>IFERROR(VLOOKUP(AY206,'EFid TK'!$J$116:$M$165,4,FALSE),0)</f>
        <v>0</v>
      </c>
      <c r="BA206">
        <f>Taimekasvatus!G100/1000</f>
        <v>0</v>
      </c>
      <c r="BB206">
        <f>IFERROR(VLOOKUP(AZ206,EFid!$A$432:$B$501,2,FALSE),0)</f>
        <v>0</v>
      </c>
      <c r="BC206">
        <f t="shared" si="175"/>
        <v>0</v>
      </c>
      <c r="BD206" s="21"/>
    </row>
    <row r="207" spans="2:77">
      <c r="B207" s="20" t="s">
        <v>780</v>
      </c>
      <c r="C207" t="s">
        <v>781</v>
      </c>
      <c r="E207" s="186">
        <f>E208*E209*E210</f>
        <v>0</v>
      </c>
      <c r="F207" t="s">
        <v>772</v>
      </c>
      <c r="AY207" s="20" t="str">
        <f>Taimekasvatus!E101</f>
        <v>Toode</v>
      </c>
      <c r="AZ207" t="str">
        <f>Taimekasvatus!H101</f>
        <v>Päritolumaa</v>
      </c>
      <c r="BA207" t="str">
        <f>Taimekasvatus!F101</f>
        <v>Kogus</v>
      </c>
      <c r="BB207">
        <f>IFERROR(VLOOKUP(AZ207,EFid!$A$432:$B$501,2,FALSE),0)</f>
        <v>0</v>
      </c>
      <c r="BD207" s="21"/>
    </row>
    <row r="208" spans="2:77">
      <c r="B208" s="85" t="s">
        <v>446</v>
      </c>
      <c r="C208" t="s">
        <v>782</v>
      </c>
      <c r="E208" s="186">
        <f>Loomakasvatus!D311</f>
        <v>0</v>
      </c>
      <c r="F208" t="s">
        <v>299</v>
      </c>
      <c r="AY208" s="20">
        <f>Taimekasvatus!E102</f>
        <v>0</v>
      </c>
      <c r="AZ208">
        <f>Taimekasvatus!H102</f>
        <v>0</v>
      </c>
      <c r="BA208">
        <f>Taimekasvatus!F102/1000</f>
        <v>0</v>
      </c>
      <c r="BB208">
        <f>IFERROR(VLOOKUP(AZ208,EFid!$A$432:$B$501,2,FALSE),0)</f>
        <v>0</v>
      </c>
      <c r="BC208">
        <f t="shared" si="175"/>
        <v>0</v>
      </c>
      <c r="BD208" s="21"/>
    </row>
    <row r="209" spans="2:77" ht="15" thickBot="1">
      <c r="B209" s="85" t="s">
        <v>783</v>
      </c>
      <c r="C209" t="s">
        <v>784</v>
      </c>
      <c r="E209" s="186">
        <v>0</v>
      </c>
      <c r="F209" t="s">
        <v>758</v>
      </c>
      <c r="AY209" s="20">
        <f>Taimekasvatus!E103</f>
        <v>0</v>
      </c>
      <c r="AZ209">
        <f>Taimekasvatus!H103</f>
        <v>0</v>
      </c>
      <c r="BA209">
        <f>Taimekasvatus!F103/1000</f>
        <v>0</v>
      </c>
      <c r="BB209">
        <f>IFERROR(VLOOKUP(AZ209,EFid!$A$432:$B$501,2,FALSE),0)</f>
        <v>0</v>
      </c>
      <c r="BC209">
        <f t="shared" si="175"/>
        <v>0</v>
      </c>
      <c r="BD209" s="21"/>
    </row>
    <row r="210" spans="2:77" ht="15" thickBot="1">
      <c r="B210" s="58" t="s">
        <v>762</v>
      </c>
      <c r="C210" s="36" t="s">
        <v>763</v>
      </c>
      <c r="D210" s="36"/>
      <c r="E210" s="37">
        <f>E204</f>
        <v>1</v>
      </c>
      <c r="AY210" s="20">
        <f>Taimekasvatus!E104</f>
        <v>0</v>
      </c>
      <c r="AZ210">
        <f>Taimekasvatus!H104</f>
        <v>0</v>
      </c>
      <c r="BA210">
        <f>Taimekasvatus!F104/1000</f>
        <v>0</v>
      </c>
      <c r="BB210">
        <f>IFERROR(VLOOKUP(AZ210,EFid!$A$432:$B$501,2,FALSE),0)</f>
        <v>0</v>
      </c>
      <c r="BC210">
        <f t="shared" si="175"/>
        <v>0</v>
      </c>
      <c r="BD210" s="21"/>
      <c r="BH210" s="90" t="s">
        <v>179</v>
      </c>
      <c r="BI210" s="16"/>
      <c r="BJ210" s="16"/>
      <c r="BK210" s="16"/>
      <c r="BL210" s="16"/>
      <c r="BM210" s="17"/>
      <c r="BN210" s="90" t="s">
        <v>185</v>
      </c>
      <c r="BO210" s="16"/>
      <c r="BP210" s="16"/>
      <c r="BQ210" s="16"/>
      <c r="BR210" s="16"/>
      <c r="BS210" s="17"/>
      <c r="BT210" s="90" t="s">
        <v>182</v>
      </c>
      <c r="BU210" s="16"/>
      <c r="BV210" s="16"/>
      <c r="BW210" s="16"/>
      <c r="BX210" s="16"/>
      <c r="BY210" s="17"/>
    </row>
    <row r="211" spans="2:77" ht="15" thickBot="1">
      <c r="B211" s="1340" t="s">
        <v>786</v>
      </c>
      <c r="C211" s="1340"/>
      <c r="D211" s="1340"/>
      <c r="E211" s="1340"/>
      <c r="AY211" s="20" t="str">
        <f>Taimekasvatus!E105</f>
        <v>Insektitsiidi nimi</v>
      </c>
      <c r="BB211">
        <f>IFERROR(VLOOKUP(AZ211,EFid!$A$432:$B$501,2,FALSE),0)</f>
        <v>0</v>
      </c>
      <c r="BC211">
        <f t="shared" si="175"/>
        <v>0</v>
      </c>
      <c r="BD211" s="21"/>
      <c r="BH211" s="80" t="s">
        <v>821</v>
      </c>
      <c r="BI211" s="1" t="s">
        <v>108</v>
      </c>
      <c r="BJ211" s="1" t="s">
        <v>88</v>
      </c>
      <c r="BK211" s="1" t="s">
        <v>822</v>
      </c>
      <c r="BL211" s="153" t="s">
        <v>517</v>
      </c>
      <c r="BM211" s="445">
        <f>SUM(BL212:BL227)</f>
        <v>0</v>
      </c>
      <c r="BN211" s="80" t="s">
        <v>821</v>
      </c>
      <c r="BO211" s="1" t="s">
        <v>108</v>
      </c>
      <c r="BP211" s="1" t="s">
        <v>88</v>
      </c>
      <c r="BQ211" s="1" t="s">
        <v>822</v>
      </c>
      <c r="BR211" s="153" t="s">
        <v>517</v>
      </c>
      <c r="BS211" s="21"/>
      <c r="BT211" s="80" t="s">
        <v>821</v>
      </c>
      <c r="BU211" s="1" t="s">
        <v>108</v>
      </c>
      <c r="BV211" s="1" t="s">
        <v>88</v>
      </c>
      <c r="BW211" s="1" t="s">
        <v>822</v>
      </c>
      <c r="BX211" s="153" t="s">
        <v>517</v>
      </c>
      <c r="BY211" s="445">
        <f>SUM(BX212:BX225)</f>
        <v>0</v>
      </c>
    </row>
    <row r="212" spans="2:77">
      <c r="B212" s="199" t="s">
        <v>787</v>
      </c>
      <c r="C212" s="191"/>
      <c r="D212" s="191"/>
      <c r="E212" s="192"/>
      <c r="AY212" s="20">
        <f>Taimekasvatus!E106</f>
        <v>0</v>
      </c>
      <c r="AZ212">
        <f>IFERROR(VLOOKUP(AY212,'EFid TK'!$J$192:$M$196,4,FALSE),0)</f>
        <v>0</v>
      </c>
      <c r="BA212">
        <f>Taimekasvatus!G106/1000</f>
        <v>0</v>
      </c>
      <c r="BB212">
        <f>IFERROR(VLOOKUP(AZ212,EFid!$A$432:$B$501,2,FALSE),0)</f>
        <v>0</v>
      </c>
      <c r="BC212">
        <f t="shared" si="175"/>
        <v>0</v>
      </c>
      <c r="BD212" s="21"/>
      <c r="BH212" s="20" cm="1">
        <f t="array" ref="BH212:BH227">Loomakasvatus!B326:B341</f>
        <v>0</v>
      </c>
      <c r="BI212" cm="1">
        <f t="array" ref="BI212:BI227">Loomakasvatus!D326:D341/1000</f>
        <v>0</v>
      </c>
      <c r="BJ212" cm="1">
        <f t="array" ref="BJ212:BJ227">Loomakasvatus!C326:C341</f>
        <v>0</v>
      </c>
      <c r="BK212">
        <f>IFERROR(VLOOKUP(BJ212,EFid!$A$432:$B$501,2,FALSE),0)</f>
        <v>0</v>
      </c>
      <c r="BL212">
        <f>BI212*BK212</f>
        <v>0</v>
      </c>
      <c r="BM212" s="21"/>
      <c r="BN212" s="20">
        <f>Loomakasvatus!B42</f>
        <v>0</v>
      </c>
      <c r="BO212">
        <f>Loomakasvatus!D42/1000</f>
        <v>0</v>
      </c>
      <c r="BP212">
        <f>Loomakasvatus!C42</f>
        <v>0</v>
      </c>
      <c r="BQ212">
        <f>IFERROR(VLOOKUP(BP212,EFid!$A$432:$B$484,2,FALSE),0)</f>
        <v>0</v>
      </c>
      <c r="BR212">
        <f>BO212*BQ212</f>
        <v>0</v>
      </c>
      <c r="BS212" s="445">
        <f>SUM(BR212:BR224)</f>
        <v>0</v>
      </c>
      <c r="BT212" s="20" cm="1">
        <f t="array" ref="BT212:BT225">Loomakasvatus!B505:B518</f>
        <v>0</v>
      </c>
      <c r="BU212" cm="1">
        <f t="array" ref="BU212:BU225">Loomakasvatus!D505:D518/1000</f>
        <v>0</v>
      </c>
      <c r="BV212" cm="1">
        <f t="array" ref="BV212:BV225">Loomakasvatus!C505:C518</f>
        <v>0</v>
      </c>
      <c r="BW212">
        <f>IFERROR(VLOOKUP(BV212,EFid!$A$432:$B$501,2,FALSE),0)</f>
        <v>0</v>
      </c>
      <c r="BX212">
        <f>BU212*BW212</f>
        <v>0</v>
      </c>
      <c r="BY212" s="21"/>
    </row>
    <row r="213" spans="2:77">
      <c r="B213" s="188" t="s">
        <v>788</v>
      </c>
      <c r="C213" s="189"/>
      <c r="D213" s="189"/>
      <c r="E213" s="190"/>
      <c r="AY213" s="20">
        <f>Taimekasvatus!E107</f>
        <v>0</v>
      </c>
      <c r="AZ213">
        <f>IFERROR(VLOOKUP(AY213,'EFid TK'!$J$192:$M$196,4,FALSE),0)</f>
        <v>0</v>
      </c>
      <c r="BA213">
        <f>Taimekasvatus!G107/1000</f>
        <v>0</v>
      </c>
      <c r="BB213">
        <f>IFERROR(VLOOKUP(AZ213,EFid!$A$432:$B$501,2,FALSE),0)</f>
        <v>0</v>
      </c>
      <c r="BC213">
        <f t="shared" si="175"/>
        <v>0</v>
      </c>
      <c r="BD213" s="21"/>
      <c r="BH213" s="20">
        <v>0</v>
      </c>
      <c r="BI213">
        <v>0</v>
      </c>
      <c r="BJ213">
        <v>0</v>
      </c>
      <c r="BK213">
        <f>IFERROR(VLOOKUP(BJ213,EFid!$A$432:$B$501,2,FALSE),0)</f>
        <v>0</v>
      </c>
      <c r="BL213">
        <f t="shared" ref="BL213:BL240" si="179">BI213*BK213</f>
        <v>0</v>
      </c>
      <c r="BM213" s="21"/>
      <c r="BN213" s="20">
        <f>Loomakasvatus!B43</f>
        <v>0</v>
      </c>
      <c r="BO213">
        <f>Loomakasvatus!D43/1000</f>
        <v>0</v>
      </c>
      <c r="BP213">
        <f>Loomakasvatus!C43</f>
        <v>0</v>
      </c>
      <c r="BQ213">
        <f>IFERROR(VLOOKUP(BP213,EFid!$A$432:$B$484,2,FALSE),0)</f>
        <v>0</v>
      </c>
      <c r="BR213">
        <f t="shared" ref="BR213:BR238" si="180">BO213*BQ213</f>
        <v>0</v>
      </c>
      <c r="BS213" s="21"/>
      <c r="BT213" s="20">
        <v>0</v>
      </c>
      <c r="BU213">
        <v>0</v>
      </c>
      <c r="BV213">
        <v>0</v>
      </c>
      <c r="BW213">
        <f>IFERROR(VLOOKUP(BV213,EFid!$A$432:$B$501,2,FALSE),0)</f>
        <v>0</v>
      </c>
      <c r="BX213">
        <f t="shared" ref="BX213:BX238" si="181">BU213*BW213</f>
        <v>0</v>
      </c>
      <c r="BY213" s="21"/>
    </row>
    <row r="214" spans="2:77">
      <c r="B214" s="20" t="s">
        <v>789</v>
      </c>
      <c r="C214" t="s">
        <v>790</v>
      </c>
      <c r="E214" s="187" t="e">
        <f>(E215*E216-E217/1.214)*E218/100</f>
        <v>#N/A</v>
      </c>
      <c r="F214" t="s">
        <v>772</v>
      </c>
      <c r="AY214" s="20">
        <f>Taimekasvatus!E108</f>
        <v>0</v>
      </c>
      <c r="AZ214">
        <f>IFERROR(VLOOKUP(AY214,'EFid TK'!$J$192:$M$196,4,FALSE),0)</f>
        <v>0</v>
      </c>
      <c r="BA214">
        <f>Taimekasvatus!G108/1000</f>
        <v>0</v>
      </c>
      <c r="BB214">
        <f>IFERROR(VLOOKUP(AZ214,EFid!$A$432:$B$501,2,FALSE),0)</f>
        <v>0</v>
      </c>
      <c r="BC214">
        <f t="shared" si="175"/>
        <v>0</v>
      </c>
      <c r="BD214" s="21"/>
      <c r="BH214" s="20">
        <v>0</v>
      </c>
      <c r="BI214">
        <v>0</v>
      </c>
      <c r="BJ214">
        <v>0</v>
      </c>
      <c r="BK214">
        <f>IFERROR(VLOOKUP(BJ214,EFid!$A$432:$B$501,2,FALSE),0)</f>
        <v>0</v>
      </c>
      <c r="BL214">
        <f t="shared" si="179"/>
        <v>0</v>
      </c>
      <c r="BM214" s="21"/>
      <c r="BN214" s="20">
        <f>Loomakasvatus!B44</f>
        <v>0</v>
      </c>
      <c r="BO214">
        <f>Loomakasvatus!D44/1000</f>
        <v>0</v>
      </c>
      <c r="BP214">
        <f>Loomakasvatus!C44</f>
        <v>0</v>
      </c>
      <c r="BQ214">
        <f>IFERROR(VLOOKUP(BP214,EFid!$A$432:$B$484,2,FALSE),0)</f>
        <v>0</v>
      </c>
      <c r="BR214">
        <f t="shared" si="180"/>
        <v>0</v>
      </c>
      <c r="BS214" s="21"/>
      <c r="BT214" s="20">
        <v>0</v>
      </c>
      <c r="BU214">
        <v>0</v>
      </c>
      <c r="BV214">
        <v>0</v>
      </c>
      <c r="BW214">
        <f>IFERROR(VLOOKUP(BV214,EFid!$A$432:$B$501,2,FALSE),0)</f>
        <v>0</v>
      </c>
      <c r="BX214">
        <f t="shared" si="181"/>
        <v>0</v>
      </c>
      <c r="BY214" s="21"/>
    </row>
    <row r="215" spans="2:77">
      <c r="B215" s="20" t="s">
        <v>742</v>
      </c>
      <c r="C215" t="s">
        <v>743</v>
      </c>
      <c r="E215" s="187">
        <f>E180</f>
        <v>0</v>
      </c>
      <c r="F215" t="s">
        <v>135</v>
      </c>
      <c r="AY215" s="20">
        <f>Taimekasvatus!E109</f>
        <v>0</v>
      </c>
      <c r="AZ215">
        <f>IFERROR(VLOOKUP(AY215,'EFid TK'!$J$192:$M$196,4,FALSE),0)</f>
        <v>0</v>
      </c>
      <c r="BA215">
        <f>Taimekasvatus!G109/1000</f>
        <v>0</v>
      </c>
      <c r="BB215">
        <f>IFERROR(VLOOKUP(AZ215,EFid!$A$432:$B$501,2,FALSE),0)</f>
        <v>0</v>
      </c>
      <c r="BC215">
        <f t="shared" si="175"/>
        <v>0</v>
      </c>
      <c r="BD215" s="21"/>
      <c r="BH215" s="20">
        <v>0</v>
      </c>
      <c r="BI215">
        <v>0</v>
      </c>
      <c r="BJ215">
        <v>0</v>
      </c>
      <c r="BK215">
        <f>IFERROR(VLOOKUP(BJ215,EFid!$A$432:$B$501,2,FALSE),0)</f>
        <v>0</v>
      </c>
      <c r="BL215">
        <f t="shared" si="179"/>
        <v>0</v>
      </c>
      <c r="BM215" s="21"/>
      <c r="BN215" s="20">
        <f>Loomakasvatus!B45</f>
        <v>0</v>
      </c>
      <c r="BO215">
        <f>Loomakasvatus!D45/1000</f>
        <v>0</v>
      </c>
      <c r="BP215">
        <f>Loomakasvatus!C45</f>
        <v>0</v>
      </c>
      <c r="BQ215">
        <f>IFERROR(VLOOKUP(BP215,EFid!$A$432:$B$484,2,FALSE),0)</f>
        <v>0</v>
      </c>
      <c r="BR215">
        <f t="shared" si="180"/>
        <v>0</v>
      </c>
      <c r="BS215" s="21"/>
      <c r="BT215" s="20">
        <v>0</v>
      </c>
      <c r="BU215">
        <v>0</v>
      </c>
      <c r="BV215">
        <v>0</v>
      </c>
      <c r="BW215">
        <f>IFERROR(VLOOKUP(BV215,EFid!$A$432:$B$501,2,FALSE),0)</f>
        <v>0</v>
      </c>
      <c r="BX215">
        <f t="shared" si="181"/>
        <v>0</v>
      </c>
      <c r="BY215" s="21"/>
    </row>
    <row r="216" spans="2:77">
      <c r="B216" s="85" t="s">
        <v>762</v>
      </c>
      <c r="C216" t="s">
        <v>763</v>
      </c>
      <c r="E216" s="187">
        <f>E194</f>
        <v>1</v>
      </c>
      <c r="AY216" s="20">
        <f>Taimekasvatus!E110</f>
        <v>0</v>
      </c>
      <c r="AZ216">
        <f>IFERROR(VLOOKUP(AY216,'EFid TK'!$J$192:$M$196,4,FALSE),0)</f>
        <v>0</v>
      </c>
      <c r="BA216">
        <f>Taimekasvatus!G110/1000</f>
        <v>0</v>
      </c>
      <c r="BB216">
        <f>IFERROR(VLOOKUP(AZ216,EFid!$A$432:$B$501,2,FALSE),0)</f>
        <v>0</v>
      </c>
      <c r="BC216">
        <f t="shared" si="175"/>
        <v>0</v>
      </c>
      <c r="BD216" s="21"/>
      <c r="BH216" s="20">
        <v>0</v>
      </c>
      <c r="BI216">
        <v>0</v>
      </c>
      <c r="BJ216">
        <v>0</v>
      </c>
      <c r="BK216">
        <f>IFERROR(VLOOKUP(BJ216,EFid!$A$432:$B$501,2,FALSE),0)</f>
        <v>0</v>
      </c>
      <c r="BL216">
        <f t="shared" si="179"/>
        <v>0</v>
      </c>
      <c r="BM216" s="21"/>
      <c r="BN216" s="20">
        <f>Loomakasvatus!B46</f>
        <v>0</v>
      </c>
      <c r="BO216">
        <f>Loomakasvatus!D46/1000</f>
        <v>0</v>
      </c>
      <c r="BP216">
        <f>Loomakasvatus!C46</f>
        <v>0</v>
      </c>
      <c r="BQ216">
        <f>IFERROR(VLOOKUP(BP216,EFid!$A$432:$B$484,2,FALSE),0)</f>
        <v>0</v>
      </c>
      <c r="BR216">
        <f t="shared" si="180"/>
        <v>0</v>
      </c>
      <c r="BS216" s="21"/>
      <c r="BT216" s="20">
        <v>0</v>
      </c>
      <c r="BU216">
        <v>0</v>
      </c>
      <c r="BV216">
        <v>0</v>
      </c>
      <c r="BW216">
        <f>IFERROR(VLOOKUP(BV216,EFid!$A$432:$B$501,2,FALSE),0)</f>
        <v>0</v>
      </c>
      <c r="BX216">
        <f t="shared" si="181"/>
        <v>0</v>
      </c>
      <c r="BY216" s="21"/>
    </row>
    <row r="217" spans="2:77">
      <c r="B217" s="85" t="s">
        <v>770</v>
      </c>
      <c r="C217" t="s">
        <v>771</v>
      </c>
      <c r="E217" s="187" t="e">
        <f>E199</f>
        <v>#N/A</v>
      </c>
      <c r="F217" t="s">
        <v>772</v>
      </c>
      <c r="AY217" s="20">
        <f>Taimekasvatus!E111</f>
        <v>0</v>
      </c>
      <c r="AZ217">
        <f>IFERROR(VLOOKUP(AY217,'EFid TK'!$J$192:$M$196,4,FALSE),0)</f>
        <v>0</v>
      </c>
      <c r="BA217">
        <f>Taimekasvatus!G111/1000</f>
        <v>0</v>
      </c>
      <c r="BB217">
        <f>IFERROR(VLOOKUP(AZ217,EFid!$A$432:$B$501,2,FALSE),0)</f>
        <v>0</v>
      </c>
      <c r="BC217">
        <f t="shared" si="175"/>
        <v>0</v>
      </c>
      <c r="BD217" s="21"/>
      <c r="BH217" s="20">
        <v>0</v>
      </c>
      <c r="BI217">
        <v>0</v>
      </c>
      <c r="BJ217">
        <v>0</v>
      </c>
      <c r="BK217">
        <f>IFERROR(VLOOKUP(BJ217,EFid!$A$432:$B$501,2,FALSE),0)</f>
        <v>0</v>
      </c>
      <c r="BL217">
        <f t="shared" si="179"/>
        <v>0</v>
      </c>
      <c r="BM217" s="21"/>
      <c r="BN217" s="20">
        <f>Loomakasvatus!B47</f>
        <v>0</v>
      </c>
      <c r="BO217">
        <f>Loomakasvatus!D47/1000</f>
        <v>0</v>
      </c>
      <c r="BP217">
        <f>Loomakasvatus!C47</f>
        <v>0</v>
      </c>
      <c r="BQ217">
        <f>IFERROR(VLOOKUP(BP217,EFid!$A$432:$B$484,2,FALSE),0)</f>
        <v>0</v>
      </c>
      <c r="BR217">
        <f t="shared" si="180"/>
        <v>0</v>
      </c>
      <c r="BS217" s="21"/>
      <c r="BT217" s="20">
        <v>0</v>
      </c>
      <c r="BU217">
        <v>0</v>
      </c>
      <c r="BV217">
        <v>0</v>
      </c>
      <c r="BW217">
        <f>IFERROR(VLOOKUP(BV217,EFid!$A$432:$B$501,2,FALSE),0)</f>
        <v>0</v>
      </c>
      <c r="BX217">
        <f t="shared" si="181"/>
        <v>0</v>
      </c>
      <c r="BY217" s="21"/>
    </row>
    <row r="218" spans="2:77">
      <c r="B218" s="85" t="s">
        <v>792</v>
      </c>
      <c r="C218" t="s">
        <v>793</v>
      </c>
      <c r="E218" s="187" t="e">
        <f>VLOOKUP(Loomakasvatus!D315,'M1 - LK'!K250:L257,2,FALSE)</f>
        <v>#N/A</v>
      </c>
      <c r="F218" t="s">
        <v>34</v>
      </c>
      <c r="AY218" s="20" t="str">
        <f>Taimekasvatus!E112</f>
        <v>Toode</v>
      </c>
      <c r="AZ218" t="str">
        <f>Taimekasvatus!H112</f>
        <v>Päritolumaa</v>
      </c>
      <c r="BA218" t="str">
        <f>Taimekasvatus!F112</f>
        <v>Kogus</v>
      </c>
      <c r="BB218">
        <f>IFERROR(VLOOKUP(AZ218,EFid!$A$432:$B$501,2,FALSE),0)</f>
        <v>0</v>
      </c>
      <c r="BD218" s="21"/>
      <c r="BH218" s="20">
        <v>0</v>
      </c>
      <c r="BI218">
        <v>0</v>
      </c>
      <c r="BJ218">
        <v>0</v>
      </c>
      <c r="BK218">
        <f>IFERROR(VLOOKUP(BJ218,EFid!$A$432:$B$501,2,FALSE),0)</f>
        <v>0</v>
      </c>
      <c r="BL218">
        <f t="shared" si="179"/>
        <v>0</v>
      </c>
      <c r="BM218" s="21"/>
      <c r="BN218" s="20">
        <f>Loomakasvatus!B48</f>
        <v>0</v>
      </c>
      <c r="BO218">
        <f>Loomakasvatus!D48/1000</f>
        <v>0</v>
      </c>
      <c r="BP218">
        <f>Loomakasvatus!C48</f>
        <v>0</v>
      </c>
      <c r="BQ218">
        <f>IFERROR(VLOOKUP(BP218,EFid!$A$432:$B$484,2,FALSE),0)</f>
        <v>0</v>
      </c>
      <c r="BR218">
        <f t="shared" si="180"/>
        <v>0</v>
      </c>
      <c r="BS218" s="21"/>
      <c r="BT218" s="20">
        <v>0</v>
      </c>
      <c r="BU218">
        <v>0</v>
      </c>
      <c r="BV218">
        <v>0</v>
      </c>
      <c r="BW218">
        <f>IFERROR(VLOOKUP(BV218,EFid!$A$432:$B$501,2,FALSE),0)</f>
        <v>0</v>
      </c>
      <c r="BX218">
        <f t="shared" si="181"/>
        <v>0</v>
      </c>
      <c r="BY218" s="21"/>
    </row>
    <row r="219" spans="2:77">
      <c r="B219" s="193" t="s">
        <v>794</v>
      </c>
      <c r="C219" s="178"/>
      <c r="D219" s="178"/>
      <c r="E219" s="194"/>
      <c r="AY219" s="20">
        <f>Taimekasvatus!E113</f>
        <v>0</v>
      </c>
      <c r="AZ219">
        <f>Taimekasvatus!H113</f>
        <v>0</v>
      </c>
      <c r="BA219">
        <f>Taimekasvatus!F113/1000</f>
        <v>0</v>
      </c>
      <c r="BB219">
        <f>IFERROR(VLOOKUP(AZ219,EFid!$A$432:$B$501,2,FALSE),0)</f>
        <v>0</v>
      </c>
      <c r="BC219">
        <f t="shared" si="175"/>
        <v>0</v>
      </c>
      <c r="BD219" s="21"/>
      <c r="BH219" s="20">
        <v>0</v>
      </c>
      <c r="BI219">
        <v>0</v>
      </c>
      <c r="BJ219">
        <v>0</v>
      </c>
      <c r="BK219">
        <f>IFERROR(VLOOKUP(BJ219,EFid!$A$432:$B$501,2,FALSE),0)</f>
        <v>0</v>
      </c>
      <c r="BL219">
        <f t="shared" si="179"/>
        <v>0</v>
      </c>
      <c r="BM219" s="21"/>
      <c r="BN219" s="20">
        <f>Loomakasvatus!B49</f>
        <v>0</v>
      </c>
      <c r="BO219">
        <f>Loomakasvatus!D49/1000</f>
        <v>0</v>
      </c>
      <c r="BP219">
        <f>Loomakasvatus!C49</f>
        <v>0</v>
      </c>
      <c r="BQ219">
        <f>IFERROR(VLOOKUP(BP219,EFid!$A$432:$B$484,2,FALSE),0)</f>
        <v>0</v>
      </c>
      <c r="BR219">
        <f t="shared" si="180"/>
        <v>0</v>
      </c>
      <c r="BS219" s="21"/>
      <c r="BT219" s="20">
        <v>0</v>
      </c>
      <c r="BU219">
        <v>0</v>
      </c>
      <c r="BV219">
        <v>0</v>
      </c>
      <c r="BW219">
        <f>IFERROR(VLOOKUP(BV219,EFid!$A$432:$B$501,2,FALSE),0)</f>
        <v>0</v>
      </c>
      <c r="BX219">
        <f t="shared" si="181"/>
        <v>0</v>
      </c>
      <c r="BY219" s="21"/>
    </row>
    <row r="220" spans="2:77">
      <c r="B220" s="188" t="s">
        <v>795</v>
      </c>
      <c r="C220" s="189"/>
      <c r="D220" s="189"/>
      <c r="E220" s="190"/>
      <c r="AY220" s="20">
        <f>Taimekasvatus!E114</f>
        <v>0</v>
      </c>
      <c r="AZ220">
        <f>Taimekasvatus!H114</f>
        <v>0</v>
      </c>
      <c r="BA220">
        <f>Taimekasvatus!F114/1000</f>
        <v>0</v>
      </c>
      <c r="BB220">
        <f>IFERROR(VLOOKUP(AZ220,EFid!$A$432:$B$501,2,FALSE),0)</f>
        <v>0</v>
      </c>
      <c r="BC220">
        <f t="shared" si="175"/>
        <v>0</v>
      </c>
      <c r="BD220" s="21"/>
      <c r="BH220" s="20">
        <v>0</v>
      </c>
      <c r="BI220">
        <v>0</v>
      </c>
      <c r="BJ220">
        <v>0</v>
      </c>
      <c r="BK220">
        <f>IFERROR(VLOOKUP(BJ220,EFid!$A$432:$B$501,2,FALSE),0)</f>
        <v>0</v>
      </c>
      <c r="BL220">
        <f t="shared" si="179"/>
        <v>0</v>
      </c>
      <c r="BM220" s="21"/>
      <c r="BN220" s="20">
        <f>Loomakasvatus!B50</f>
        <v>0</v>
      </c>
      <c r="BO220">
        <f>Loomakasvatus!D50/1000</f>
        <v>0</v>
      </c>
      <c r="BP220">
        <f>Loomakasvatus!C50</f>
        <v>0</v>
      </c>
      <c r="BQ220">
        <f>IFERROR(VLOOKUP(BP220,EFid!$A$432:$B$484,2,FALSE),0)</f>
        <v>0</v>
      </c>
      <c r="BR220">
        <f t="shared" si="180"/>
        <v>0</v>
      </c>
      <c r="BS220" s="21"/>
      <c r="BT220" s="20">
        <v>0</v>
      </c>
      <c r="BU220">
        <v>0</v>
      </c>
      <c r="BV220">
        <v>0</v>
      </c>
      <c r="BW220">
        <f>IFERROR(VLOOKUP(BV220,EFid!$A$432:$B$501,2,FALSE),0)</f>
        <v>0</v>
      </c>
      <c r="BX220">
        <f t="shared" si="181"/>
        <v>0</v>
      </c>
      <c r="BY220" s="21"/>
    </row>
    <row r="221" spans="2:77">
      <c r="B221" s="20" t="s">
        <v>798</v>
      </c>
      <c r="C221" t="s">
        <v>799</v>
      </c>
      <c r="E221" s="187">
        <f>E222*E223*E224</f>
        <v>0</v>
      </c>
      <c r="F221" t="s">
        <v>772</v>
      </c>
      <c r="AY221" s="20">
        <f>Taimekasvatus!E115</f>
        <v>0</v>
      </c>
      <c r="AZ221">
        <f>Taimekasvatus!H115</f>
        <v>0</v>
      </c>
      <c r="BA221">
        <f>Taimekasvatus!F115/1000</f>
        <v>0</v>
      </c>
      <c r="BB221">
        <f>IFERROR(VLOOKUP(AZ221,EFid!$A$432:$B$501,2,FALSE),0)</f>
        <v>0</v>
      </c>
      <c r="BC221">
        <f t="shared" si="175"/>
        <v>0</v>
      </c>
      <c r="BD221" s="21"/>
      <c r="BH221" s="20">
        <v>0</v>
      </c>
      <c r="BI221">
        <v>0</v>
      </c>
      <c r="BJ221">
        <v>0</v>
      </c>
      <c r="BK221">
        <f>IFERROR(VLOOKUP(BJ221,EFid!$A$432:$B$501,2,FALSE),0)</f>
        <v>0</v>
      </c>
      <c r="BL221">
        <f t="shared" si="179"/>
        <v>0</v>
      </c>
      <c r="BM221" s="21"/>
      <c r="BN221" s="20">
        <f>Loomakasvatus!B51</f>
        <v>0</v>
      </c>
      <c r="BO221">
        <f>Loomakasvatus!D51/1000</f>
        <v>0</v>
      </c>
      <c r="BP221">
        <f>Loomakasvatus!C51</f>
        <v>0</v>
      </c>
      <c r="BQ221">
        <f>IFERROR(VLOOKUP(BP221,EFid!$A$432:$B$484,2,FALSE),0)</f>
        <v>0</v>
      </c>
      <c r="BR221">
        <f t="shared" si="180"/>
        <v>0</v>
      </c>
      <c r="BS221" s="21"/>
      <c r="BT221" s="20">
        <v>0</v>
      </c>
      <c r="BU221">
        <v>0</v>
      </c>
      <c r="BV221">
        <v>0</v>
      </c>
      <c r="BW221">
        <f>IFERROR(VLOOKUP(BV221,EFid!$A$432:$B$501,2,FALSE),0)</f>
        <v>0</v>
      </c>
      <c r="BX221">
        <f t="shared" si="181"/>
        <v>0</v>
      </c>
      <c r="BY221" s="21"/>
    </row>
    <row r="222" spans="2:77">
      <c r="B222" s="85" t="s">
        <v>446</v>
      </c>
      <c r="C222" t="s">
        <v>800</v>
      </c>
      <c r="E222" s="187">
        <f>E208</f>
        <v>0</v>
      </c>
      <c r="F222" t="s">
        <v>299</v>
      </c>
      <c r="AY222" s="20" t="str">
        <f>Taimekasvatus!E116</f>
        <v>Fungitsiidi nimi</v>
      </c>
      <c r="BB222">
        <f>IFERROR(VLOOKUP(AZ222,EFid!$A$432:$B$501,2,FALSE),0)</f>
        <v>0</v>
      </c>
      <c r="BC222">
        <f t="shared" si="175"/>
        <v>0</v>
      </c>
      <c r="BD222" s="21"/>
      <c r="BH222" s="20">
        <v>0</v>
      </c>
      <c r="BI222">
        <v>0</v>
      </c>
      <c r="BJ222">
        <v>0</v>
      </c>
      <c r="BK222">
        <f>IFERROR(VLOOKUP(BJ222,EFid!$A$432:$B$501,2,FALSE),0)</f>
        <v>0</v>
      </c>
      <c r="BL222">
        <f t="shared" si="179"/>
        <v>0</v>
      </c>
      <c r="BM222" s="21"/>
      <c r="BN222" s="20">
        <f>Loomakasvatus!B52</f>
        <v>0</v>
      </c>
      <c r="BO222">
        <f>Loomakasvatus!D52/1000</f>
        <v>0</v>
      </c>
      <c r="BP222">
        <f>Loomakasvatus!C52</f>
        <v>0</v>
      </c>
      <c r="BQ222">
        <f>IFERROR(VLOOKUP(BP222,EFid!$A$432:$B$484,2,FALSE),0)</f>
        <v>0</v>
      </c>
      <c r="BR222">
        <f t="shared" si="180"/>
        <v>0</v>
      </c>
      <c r="BS222" s="21"/>
      <c r="BT222" s="20">
        <v>0</v>
      </c>
      <c r="BU222">
        <v>0</v>
      </c>
      <c r="BV222">
        <v>0</v>
      </c>
      <c r="BW222">
        <f>IFERROR(VLOOKUP(BV222,EFid!$A$432:$B$501,2,FALSE),0)</f>
        <v>0</v>
      </c>
      <c r="BX222">
        <f t="shared" si="181"/>
        <v>0</v>
      </c>
      <c r="BY222" s="21"/>
    </row>
    <row r="223" spans="2:77">
      <c r="B223" s="85" t="s">
        <v>801</v>
      </c>
      <c r="C223" t="s">
        <v>784</v>
      </c>
      <c r="E223" s="187">
        <f>'M1 - LK'!M270</f>
        <v>7.8E-2</v>
      </c>
      <c r="F223" t="s">
        <v>758</v>
      </c>
      <c r="AY223" s="20">
        <f>Taimekasvatus!E117</f>
        <v>0</v>
      </c>
      <c r="AZ223">
        <f>IFERROR(VLOOKUP(AY223,'EFid TK'!$J$167:$M$190,4,FALSE),0)</f>
        <v>0</v>
      </c>
      <c r="BA223">
        <f>Taimekasvatus!G117/1000</f>
        <v>0</v>
      </c>
      <c r="BB223">
        <f>IFERROR(VLOOKUP(AZ223,EFid!$A$432:$B$501,2,FALSE),0)</f>
        <v>0</v>
      </c>
      <c r="BC223">
        <f t="shared" si="175"/>
        <v>0</v>
      </c>
      <c r="BD223" s="21"/>
      <c r="BH223" s="20">
        <v>0</v>
      </c>
      <c r="BI223">
        <v>0</v>
      </c>
      <c r="BJ223">
        <v>0</v>
      </c>
      <c r="BK223">
        <f>IFERROR(VLOOKUP(BJ223,EFid!$A$432:$B$501,2,FALSE),0)</f>
        <v>0</v>
      </c>
      <c r="BL223">
        <f t="shared" si="179"/>
        <v>0</v>
      </c>
      <c r="BM223" s="21"/>
      <c r="BN223" s="20">
        <f>Loomakasvatus!B53</f>
        <v>0</v>
      </c>
      <c r="BO223">
        <f>Loomakasvatus!D53/1000</f>
        <v>0</v>
      </c>
      <c r="BP223">
        <f>Loomakasvatus!C53</f>
        <v>0</v>
      </c>
      <c r="BQ223">
        <f>IFERROR(VLOOKUP(BP223,EFid!$A$432:$B$484,2,FALSE),0)</f>
        <v>0</v>
      </c>
      <c r="BR223">
        <f t="shared" si="180"/>
        <v>0</v>
      </c>
      <c r="BS223" s="21"/>
      <c r="BT223" s="20">
        <v>0</v>
      </c>
      <c r="BU223">
        <v>0</v>
      </c>
      <c r="BV223">
        <v>0</v>
      </c>
      <c r="BW223">
        <f>IFERROR(VLOOKUP(BV223,EFid!$A$432:$B$501,2,FALSE),0)</f>
        <v>0</v>
      </c>
      <c r="BX223">
        <f t="shared" si="181"/>
        <v>0</v>
      </c>
      <c r="BY223" s="21"/>
    </row>
    <row r="224" spans="2:77">
      <c r="B224" s="198" t="s">
        <v>762</v>
      </c>
      <c r="C224" s="8" t="s">
        <v>763</v>
      </c>
      <c r="D224" s="8"/>
      <c r="E224" s="187">
        <f>E204</f>
        <v>1</v>
      </c>
      <c r="AY224" s="20">
        <f>Taimekasvatus!E118</f>
        <v>0</v>
      </c>
      <c r="AZ224">
        <f>IFERROR(VLOOKUP(AY224,'EFid TK'!$J$167:$M$190,4,FALSE),0)</f>
        <v>0</v>
      </c>
      <c r="BA224">
        <f>Taimekasvatus!G118/1000</f>
        <v>0</v>
      </c>
      <c r="BB224">
        <f>IFERROR(VLOOKUP(AZ224,EFid!$A$432:$B$501,2,FALSE),0)</f>
        <v>0</v>
      </c>
      <c r="BC224">
        <f t="shared" si="175"/>
        <v>0</v>
      </c>
      <c r="BD224" s="21"/>
      <c r="BH224" s="20">
        <v>0</v>
      </c>
      <c r="BI224">
        <v>0</v>
      </c>
      <c r="BJ224">
        <v>0</v>
      </c>
      <c r="BK224">
        <f>IFERROR(VLOOKUP(BJ224,EFid!$A$432:$B$501,2,FALSE),0)</f>
        <v>0</v>
      </c>
      <c r="BL224">
        <f t="shared" si="179"/>
        <v>0</v>
      </c>
      <c r="BM224" s="21"/>
      <c r="BN224" s="20">
        <f>Loomakasvatus!B54</f>
        <v>0</v>
      </c>
      <c r="BO224">
        <f>Loomakasvatus!D54/1000</f>
        <v>0</v>
      </c>
      <c r="BP224">
        <f>Loomakasvatus!C54</f>
        <v>0</v>
      </c>
      <c r="BQ224">
        <f>IFERROR(VLOOKUP(BP224,EFid!$A$432:$B$484,2,FALSE),0)</f>
        <v>0</v>
      </c>
      <c r="BR224">
        <f t="shared" si="180"/>
        <v>0</v>
      </c>
      <c r="BS224" s="21"/>
      <c r="BT224" s="20">
        <v>0</v>
      </c>
      <c r="BU224">
        <v>0</v>
      </c>
      <c r="BV224">
        <v>0</v>
      </c>
      <c r="BW224">
        <f>IFERROR(VLOOKUP(BV224,EFid!$A$432:$B$501,2,FALSE),0)</f>
        <v>0</v>
      </c>
      <c r="BX224">
        <f t="shared" si="181"/>
        <v>0</v>
      </c>
      <c r="BY224" s="21"/>
    </row>
    <row r="225" spans="2:77">
      <c r="B225" s="193" t="s">
        <v>802</v>
      </c>
      <c r="C225" s="178"/>
      <c r="D225" s="178"/>
      <c r="E225" s="194"/>
      <c r="AY225" s="20">
        <f>Taimekasvatus!E119</f>
        <v>0</v>
      </c>
      <c r="AZ225">
        <f>IFERROR(VLOOKUP(AY225,'EFid TK'!$J$167:$M$190,4,FALSE),0)</f>
        <v>0</v>
      </c>
      <c r="BA225">
        <f>Taimekasvatus!G119/1000</f>
        <v>0</v>
      </c>
      <c r="BB225">
        <f>IFERROR(VLOOKUP(AZ225,EFid!$A$432:$B$501,2,FALSE),0)</f>
        <v>0</v>
      </c>
      <c r="BC225">
        <f t="shared" si="175"/>
        <v>0</v>
      </c>
      <c r="BD225" s="21"/>
      <c r="BH225" s="20">
        <v>0</v>
      </c>
      <c r="BI225">
        <v>0</v>
      </c>
      <c r="BJ225">
        <v>0</v>
      </c>
      <c r="BK225">
        <f>IFERROR(VLOOKUP(BJ225,EFid!$A$432:$B$501,2,FALSE),0)</f>
        <v>0</v>
      </c>
      <c r="BL225">
        <f t="shared" si="179"/>
        <v>0</v>
      </c>
      <c r="BM225" s="21"/>
      <c r="BN225" s="80" t="s">
        <v>256</v>
      </c>
      <c r="BS225" s="445">
        <f>SUM(BR226:BR238)</f>
        <v>0</v>
      </c>
      <c r="BT225" s="20">
        <v>0</v>
      </c>
      <c r="BU225">
        <v>0</v>
      </c>
      <c r="BV225">
        <v>0</v>
      </c>
      <c r="BW225">
        <f>IFERROR(VLOOKUP(BV225,EFid!$A$432:$B$501,2,FALSE),0)</f>
        <v>0</v>
      </c>
      <c r="BX225">
        <f t="shared" si="181"/>
        <v>0</v>
      </c>
      <c r="BY225" s="21"/>
    </row>
    <row r="226" spans="2:77">
      <c r="B226" s="188" t="s">
        <v>803</v>
      </c>
      <c r="C226" s="189"/>
      <c r="D226" s="189"/>
      <c r="E226" s="190"/>
      <c r="AY226" s="20">
        <f>Taimekasvatus!E120</f>
        <v>0</v>
      </c>
      <c r="AZ226">
        <f>IFERROR(VLOOKUP(AY226,'EFid TK'!$J$167:$M$190,4,FALSE),0)</f>
        <v>0</v>
      </c>
      <c r="BA226">
        <f>Taimekasvatus!G120/1000</f>
        <v>0</v>
      </c>
      <c r="BB226">
        <f>IFERROR(VLOOKUP(AZ226,EFid!$A$432:$B$501,2,FALSE),0)</f>
        <v>0</v>
      </c>
      <c r="BC226">
        <f t="shared" si="175"/>
        <v>0</v>
      </c>
      <c r="BD226" s="21"/>
      <c r="BH226" s="20">
        <v>0</v>
      </c>
      <c r="BI226">
        <v>0</v>
      </c>
      <c r="BJ226">
        <v>0</v>
      </c>
      <c r="BK226">
        <f>IFERROR(VLOOKUP(BJ226,EFid!$A$432:$B$501,2,FALSE),0)</f>
        <v>0</v>
      </c>
      <c r="BL226">
        <f t="shared" si="179"/>
        <v>0</v>
      </c>
      <c r="BM226" s="21"/>
      <c r="BN226" s="20">
        <f>Loomakasvatus!C66</f>
        <v>0</v>
      </c>
      <c r="BO226">
        <f>Loomakasvatus!D66/1000</f>
        <v>0</v>
      </c>
      <c r="BP226" cm="1">
        <f t="array" ref="BP226:BP238">Loomakasvatus!E66:E78</f>
        <v>0</v>
      </c>
      <c r="BQ226">
        <f>IFERROR(VLOOKUP(BP226,EFid!$A$432:$B$484,2,FALSE),0)</f>
        <v>0</v>
      </c>
      <c r="BR226">
        <f t="shared" si="180"/>
        <v>0</v>
      </c>
      <c r="BS226" s="21"/>
      <c r="BT226" s="80" t="s">
        <v>256</v>
      </c>
      <c r="BW226">
        <f>IFERROR(VLOOKUP(BV226,EFid!$A$432:$B$501,2,FALSE),0)</f>
        <v>0</v>
      </c>
      <c r="BY226" s="445">
        <f>SUM(BX227:BX238)</f>
        <v>0</v>
      </c>
    </row>
    <row r="227" spans="2:77">
      <c r="B227" s="20" t="s">
        <v>804</v>
      </c>
      <c r="C227" t="s">
        <v>805</v>
      </c>
      <c r="E227" s="187">
        <f>IFERROR(E228*E229*E230/100,0)</f>
        <v>0</v>
      </c>
      <c r="F227" t="s">
        <v>772</v>
      </c>
      <c r="AY227" s="20">
        <f>Taimekasvatus!E121</f>
        <v>0</v>
      </c>
      <c r="AZ227">
        <f>IFERROR(VLOOKUP(AY227,'EFid TK'!$J$167:$M$190,4,FALSE),0)</f>
        <v>0</v>
      </c>
      <c r="BA227">
        <f>Taimekasvatus!G121/1000</f>
        <v>0</v>
      </c>
      <c r="BB227">
        <f>IFERROR(VLOOKUP(AZ227,EFid!$A$432:$B$501,2,FALSE),0)</f>
        <v>0</v>
      </c>
      <c r="BC227">
        <f t="shared" si="175"/>
        <v>0</v>
      </c>
      <c r="BD227" s="21"/>
      <c r="BH227" s="20">
        <v>0</v>
      </c>
      <c r="BI227">
        <v>0</v>
      </c>
      <c r="BJ227">
        <v>0</v>
      </c>
      <c r="BK227">
        <f>IFERROR(VLOOKUP(BJ227,EFid!$A$432:$B$501,2,FALSE),0)</f>
        <v>0</v>
      </c>
      <c r="BL227">
        <f t="shared" si="179"/>
        <v>0</v>
      </c>
      <c r="BM227" s="21"/>
      <c r="BN227" s="20">
        <f>Loomakasvatus!C67</f>
        <v>0</v>
      </c>
      <c r="BO227">
        <f>Loomakasvatus!D67/1000</f>
        <v>0</v>
      </c>
      <c r="BP227">
        <v>0</v>
      </c>
      <c r="BQ227">
        <f>IFERROR(VLOOKUP(BP227,EFid!$A$432:$B$484,2,FALSE),0)</f>
        <v>0</v>
      </c>
      <c r="BR227">
        <f t="shared" si="180"/>
        <v>0</v>
      </c>
      <c r="BS227" s="21"/>
      <c r="BT227" s="20" cm="1">
        <f t="array" ref="BT227:BT238">Loomakasvatus!C531:C542</f>
        <v>0</v>
      </c>
      <c r="BU227" cm="1">
        <f t="array" ref="BU227:BU238">Loomakasvatus!D531:D542/1000</f>
        <v>0</v>
      </c>
      <c r="BV227" cm="1">
        <f t="array" ref="BV227:BV238">Loomakasvatus!E531:E542</f>
        <v>0</v>
      </c>
      <c r="BW227">
        <f>IFERROR(VLOOKUP(BV227,EFid!$A$432:$B$501,2,FALSE),0)</f>
        <v>0</v>
      </c>
      <c r="BX227">
        <f t="shared" si="181"/>
        <v>0</v>
      </c>
      <c r="BY227" s="21"/>
    </row>
    <row r="228" spans="2:77">
      <c r="B228" s="20" t="s">
        <v>742</v>
      </c>
      <c r="C228" t="s">
        <v>743</v>
      </c>
      <c r="E228" s="187">
        <f>E180</f>
        <v>0</v>
      </c>
      <c r="F228" t="s">
        <v>135</v>
      </c>
      <c r="AY228" s="20">
        <f>Taimekasvatus!E122</f>
        <v>0</v>
      </c>
      <c r="AZ228">
        <f>IFERROR(VLOOKUP(AY228,'EFid TK'!$J$167:$M$190,4,FALSE),0)</f>
        <v>0</v>
      </c>
      <c r="BA228">
        <f>Taimekasvatus!G122/1000</f>
        <v>0</v>
      </c>
      <c r="BB228">
        <f>IFERROR(VLOOKUP(AZ228,EFid!$A$432:$B$501,2,FALSE),0)</f>
        <v>0</v>
      </c>
      <c r="BC228">
        <f t="shared" si="175"/>
        <v>0</v>
      </c>
      <c r="BD228" s="21"/>
      <c r="BH228" s="80" t="s">
        <v>256</v>
      </c>
      <c r="BM228" s="445">
        <f>SUM(BL229:BL240)</f>
        <v>0</v>
      </c>
      <c r="BN228" s="20">
        <f>Loomakasvatus!C68</f>
        <v>0</v>
      </c>
      <c r="BO228">
        <f>Loomakasvatus!D68/1000</f>
        <v>0</v>
      </c>
      <c r="BP228">
        <v>0</v>
      </c>
      <c r="BQ228">
        <f>IFERROR(VLOOKUP(BP228,EFid!$A$432:$B$484,2,FALSE),0)</f>
        <v>0</v>
      </c>
      <c r="BR228">
        <f t="shared" si="180"/>
        <v>0</v>
      </c>
      <c r="BS228" s="21"/>
      <c r="BT228" s="20">
        <v>0</v>
      </c>
      <c r="BU228">
        <v>0</v>
      </c>
      <c r="BV228">
        <v>0</v>
      </c>
      <c r="BW228">
        <f>IFERROR(VLOOKUP(BV228,EFid!$A$432:$B$501,2,FALSE),0)</f>
        <v>0</v>
      </c>
      <c r="BX228">
        <f t="shared" si="181"/>
        <v>0</v>
      </c>
      <c r="BY228" s="21"/>
    </row>
    <row r="229" spans="2:77">
      <c r="B229" s="85" t="s">
        <v>762</v>
      </c>
      <c r="C229" t="s">
        <v>763</v>
      </c>
      <c r="E229" s="187">
        <f>E216</f>
        <v>1</v>
      </c>
      <c r="AY229" s="20">
        <f>Taimekasvatus!E123</f>
        <v>0</v>
      </c>
      <c r="AZ229">
        <f>IFERROR(VLOOKUP(AY229,'EFid TK'!$J$167:$M$190,4,FALSE),0)</f>
        <v>0</v>
      </c>
      <c r="BA229">
        <f>Taimekasvatus!G123/1000</f>
        <v>0</v>
      </c>
      <c r="BB229">
        <f>IFERROR(VLOOKUP(AZ229,EFid!$A$432:$B$501,2,FALSE),0)</f>
        <v>0</v>
      </c>
      <c r="BC229">
        <f t="shared" si="175"/>
        <v>0</v>
      </c>
      <c r="BD229" s="21"/>
      <c r="BH229" s="20" cm="1">
        <f t="array" ref="BH229:BH240">Loomakasvatus!C354:C365</f>
        <v>0</v>
      </c>
      <c r="BI229" cm="1">
        <f t="array" ref="BI229:BI240">Loomakasvatus!D354:D365/1000</f>
        <v>0</v>
      </c>
      <c r="BJ229" cm="1">
        <f t="array" ref="BJ229:BJ240">Loomakasvatus!E354:E365</f>
        <v>0</v>
      </c>
      <c r="BK229">
        <f>IFERROR(VLOOKUP(BJ229,EFid!$A$432:$B$501,2,FALSE),0)</f>
        <v>0</v>
      </c>
      <c r="BL229">
        <f t="shared" si="179"/>
        <v>0</v>
      </c>
      <c r="BM229" s="21"/>
      <c r="BN229" s="20">
        <f>Loomakasvatus!C69</f>
        <v>0</v>
      </c>
      <c r="BO229">
        <f>Loomakasvatus!D69/1000</f>
        <v>0</v>
      </c>
      <c r="BP229">
        <v>0</v>
      </c>
      <c r="BQ229">
        <f>IFERROR(VLOOKUP(BP229,EFid!$A$432:$B$484,2,FALSE),0)</f>
        <v>0</v>
      </c>
      <c r="BR229">
        <f t="shared" si="180"/>
        <v>0</v>
      </c>
      <c r="BS229" s="21"/>
      <c r="BT229" s="20">
        <v>0</v>
      </c>
      <c r="BU229">
        <v>0</v>
      </c>
      <c r="BV229">
        <v>0</v>
      </c>
      <c r="BW229">
        <f>IFERROR(VLOOKUP(BV229,EFid!$A$432:$B$501,2,FALSE),0)</f>
        <v>0</v>
      </c>
      <c r="BX229">
        <f t="shared" si="181"/>
        <v>0</v>
      </c>
      <c r="BY229" s="21"/>
    </row>
    <row r="230" spans="2:77" ht="15" thickBot="1">
      <c r="B230" s="125" t="s">
        <v>792</v>
      </c>
      <c r="C230" s="36" t="s">
        <v>809</v>
      </c>
      <c r="D230" s="36"/>
      <c r="E230" s="200">
        <f>'M1 - LK'!L278</f>
        <v>0.1</v>
      </c>
      <c r="F230" t="s">
        <v>34</v>
      </c>
      <c r="AY230" s="20">
        <f>Taimekasvatus!E124</f>
        <v>0</v>
      </c>
      <c r="AZ230">
        <f>IFERROR(VLOOKUP(AY230,'EFid TK'!$J$167:$M$190,4,FALSE),0)</f>
        <v>0</v>
      </c>
      <c r="BA230">
        <f>Taimekasvatus!G124/1000</f>
        <v>0</v>
      </c>
      <c r="BB230">
        <f>IFERROR(VLOOKUP(AZ230,EFid!$A$432:$B$501,2,FALSE),0)</f>
        <v>0</v>
      </c>
      <c r="BC230">
        <f t="shared" ref="BC230:BC257" si="182">BA230*BB230</f>
        <v>0</v>
      </c>
      <c r="BD230" s="21"/>
      <c r="BH230" s="80">
        <v>0</v>
      </c>
      <c r="BI230" s="1">
        <v>0</v>
      </c>
      <c r="BJ230" s="1">
        <v>0</v>
      </c>
      <c r="BK230">
        <f>IFERROR(VLOOKUP(BJ230,EFid!$A$432:$B$501,2,FALSE),0)</f>
        <v>0</v>
      </c>
      <c r="BL230">
        <f t="shared" si="179"/>
        <v>0</v>
      </c>
      <c r="BM230" s="21"/>
      <c r="BN230" s="20">
        <f>Loomakasvatus!C70</f>
        <v>0</v>
      </c>
      <c r="BO230">
        <f>Loomakasvatus!D70/1000</f>
        <v>0</v>
      </c>
      <c r="BP230" s="1">
        <v>0</v>
      </c>
      <c r="BQ230">
        <f>IFERROR(VLOOKUP(BP230,EFid!$A$432:$B$484,2,FALSE),0)</f>
        <v>0</v>
      </c>
      <c r="BR230">
        <f t="shared" si="180"/>
        <v>0</v>
      </c>
      <c r="BS230" s="21"/>
      <c r="BT230" s="20">
        <v>0</v>
      </c>
      <c r="BU230" s="1">
        <v>0</v>
      </c>
      <c r="BV230" s="1">
        <v>0</v>
      </c>
      <c r="BW230">
        <f>IFERROR(VLOOKUP(BV230,EFid!$A$432:$B$501,2,FALSE),0)</f>
        <v>0</v>
      </c>
      <c r="BX230">
        <f t="shared" si="181"/>
        <v>0</v>
      </c>
      <c r="BY230" s="21"/>
    </row>
    <row r="231" spans="2:77">
      <c r="B231" s="1343" t="s">
        <v>811</v>
      </c>
      <c r="C231" s="1343"/>
      <c r="D231" s="1343"/>
      <c r="E231" s="1343"/>
      <c r="AY231" s="20">
        <f>Taimekasvatus!E125</f>
        <v>0</v>
      </c>
      <c r="AZ231">
        <f>IFERROR(VLOOKUP(AY231,'EFid TK'!$J$167:$M$190,4,FALSE),0)</f>
        <v>0</v>
      </c>
      <c r="BA231">
        <f>Taimekasvatus!G125/1000</f>
        <v>0</v>
      </c>
      <c r="BB231">
        <f>IFERROR(VLOOKUP(AZ231,EFid!$A$432:$B$501,2,FALSE),0)</f>
        <v>0</v>
      </c>
      <c r="BC231">
        <f t="shared" si="182"/>
        <v>0</v>
      </c>
      <c r="BD231" s="21"/>
      <c r="BH231" s="20">
        <v>0</v>
      </c>
      <c r="BI231">
        <v>0</v>
      </c>
      <c r="BJ231">
        <v>0</v>
      </c>
      <c r="BK231">
        <f>IFERROR(VLOOKUP(BJ231,EFid!$A$432:$B$501,2,FALSE),0)</f>
        <v>0</v>
      </c>
      <c r="BL231">
        <f t="shared" si="179"/>
        <v>0</v>
      </c>
      <c r="BM231" s="21"/>
      <c r="BN231" s="20">
        <f>Loomakasvatus!C71</f>
        <v>0</v>
      </c>
      <c r="BO231">
        <f>Loomakasvatus!D71/1000</f>
        <v>0</v>
      </c>
      <c r="BP231">
        <v>0</v>
      </c>
      <c r="BQ231">
        <f>IFERROR(VLOOKUP(BP231,EFid!$A$432:$B$484,2,FALSE),0)</f>
        <v>0</v>
      </c>
      <c r="BR231">
        <f t="shared" si="180"/>
        <v>0</v>
      </c>
      <c r="BS231" s="21"/>
      <c r="BT231" s="20">
        <v>0</v>
      </c>
      <c r="BU231">
        <v>0</v>
      </c>
      <c r="BV231">
        <v>0</v>
      </c>
      <c r="BW231">
        <f>IFERROR(VLOOKUP(BV231,EFid!$A$432:$B$501,2,FALSE),0)</f>
        <v>0</v>
      </c>
      <c r="BX231">
        <f t="shared" si="181"/>
        <v>0</v>
      </c>
      <c r="BY231" s="21"/>
    </row>
    <row r="232" spans="2:77" ht="15" thickBot="1">
      <c r="B232" s="32" t="s">
        <v>813</v>
      </c>
      <c r="C232" s="203"/>
      <c r="D232" s="203"/>
      <c r="E232" s="131">
        <f>E189</f>
        <v>0</v>
      </c>
      <c r="AY232" s="20">
        <f>Taimekasvatus!E126</f>
        <v>0</v>
      </c>
      <c r="AZ232">
        <f>IFERROR(VLOOKUP(AY232,'EFid TK'!$J$167:$M$190,4,FALSE),0)</f>
        <v>0</v>
      </c>
      <c r="BA232">
        <f>Taimekasvatus!G126/1000</f>
        <v>0</v>
      </c>
      <c r="BB232">
        <f>IFERROR(VLOOKUP(AZ232,EFid!$A$432:$B$501,2,FALSE),0)</f>
        <v>0</v>
      </c>
      <c r="BC232">
        <f t="shared" si="182"/>
        <v>0</v>
      </c>
      <c r="BD232" s="21"/>
      <c r="BH232" s="20">
        <v>0</v>
      </c>
      <c r="BI232">
        <v>0</v>
      </c>
      <c r="BJ232">
        <v>0</v>
      </c>
      <c r="BK232">
        <f>IFERROR(VLOOKUP(BJ232,EFid!$A$432:$B$501,2,FALSE),0)</f>
        <v>0</v>
      </c>
      <c r="BL232">
        <f t="shared" si="179"/>
        <v>0</v>
      </c>
      <c r="BM232" s="21"/>
      <c r="BN232" s="20">
        <f>Loomakasvatus!C72</f>
        <v>0</v>
      </c>
      <c r="BO232">
        <f>Loomakasvatus!D72/1000</f>
        <v>0</v>
      </c>
      <c r="BP232">
        <v>0</v>
      </c>
      <c r="BQ232">
        <f>IFERROR(VLOOKUP(BP232,EFid!$A$432:$B$484,2,FALSE),0)</f>
        <v>0</v>
      </c>
      <c r="BR232">
        <f t="shared" si="180"/>
        <v>0</v>
      </c>
      <c r="BS232" s="21"/>
      <c r="BT232" s="20">
        <v>0</v>
      </c>
      <c r="BU232">
        <v>0</v>
      </c>
      <c r="BV232">
        <v>0</v>
      </c>
      <c r="BW232">
        <f>IFERROR(VLOOKUP(BV232,EFid!$A$432:$B$501,2,FALSE),0)</f>
        <v>0</v>
      </c>
      <c r="BX232">
        <f t="shared" si="181"/>
        <v>0</v>
      </c>
      <c r="BY232" s="21"/>
    </row>
    <row r="233" spans="2:77">
      <c r="B233" s="1344" t="s">
        <v>814</v>
      </c>
      <c r="C233" s="1344"/>
      <c r="D233" s="1344"/>
      <c r="E233" s="1344"/>
      <c r="AY233" s="20" t="str">
        <f>Taimekasvatus!E127</f>
        <v>Toode</v>
      </c>
      <c r="AZ233" t="str">
        <f>Taimekasvatus!H127</f>
        <v>Päritolumaa</v>
      </c>
      <c r="BA233" t="str">
        <f>Taimekasvatus!F127</f>
        <v>Kogus</v>
      </c>
      <c r="BB233">
        <f>IFERROR(VLOOKUP(AZ233,EFid!$A$432:$B$501,2,FALSE),0)</f>
        <v>0</v>
      </c>
      <c r="BD233" s="21"/>
      <c r="BH233" s="20">
        <v>0</v>
      </c>
      <c r="BI233">
        <v>0</v>
      </c>
      <c r="BJ233">
        <v>0</v>
      </c>
      <c r="BK233">
        <f>IFERROR(VLOOKUP(BJ233,EFid!$A$432:$B$501,2,FALSE),0)</f>
        <v>0</v>
      </c>
      <c r="BL233">
        <f t="shared" si="179"/>
        <v>0</v>
      </c>
      <c r="BM233" s="21"/>
      <c r="BN233" s="20">
        <f>Loomakasvatus!C73</f>
        <v>0</v>
      </c>
      <c r="BO233">
        <f>Loomakasvatus!D73/1000</f>
        <v>0</v>
      </c>
      <c r="BP233">
        <v>0</v>
      </c>
      <c r="BQ233">
        <f>IFERROR(VLOOKUP(BP233,EFid!$A$432:$B$484,2,FALSE),0)</f>
        <v>0</v>
      </c>
      <c r="BR233">
        <f t="shared" si="180"/>
        <v>0</v>
      </c>
      <c r="BS233" s="21"/>
      <c r="BT233" s="20">
        <v>0</v>
      </c>
      <c r="BU233">
        <v>0</v>
      </c>
      <c r="BV233">
        <v>0</v>
      </c>
      <c r="BW233">
        <f>IFERROR(VLOOKUP(BV233,EFid!$A$432:$B$501,2,FALSE),0)</f>
        <v>0</v>
      </c>
      <c r="BX233">
        <f t="shared" si="181"/>
        <v>0</v>
      </c>
      <c r="BY233" s="21"/>
    </row>
    <row r="234" spans="2:77">
      <c r="B234" s="193" t="s">
        <v>816</v>
      </c>
      <c r="C234" s="178"/>
      <c r="D234" s="178"/>
      <c r="E234" s="194"/>
      <c r="AY234" s="20">
        <f>Taimekasvatus!E128</f>
        <v>0</v>
      </c>
      <c r="AZ234">
        <f>Taimekasvatus!H128</f>
        <v>0</v>
      </c>
      <c r="BA234">
        <f>Taimekasvatus!F128/1000</f>
        <v>0</v>
      </c>
      <c r="BB234">
        <f>IFERROR(VLOOKUP(AZ234,EFid!$A$432:$B$501,2,FALSE),0)</f>
        <v>0</v>
      </c>
      <c r="BC234">
        <f t="shared" si="182"/>
        <v>0</v>
      </c>
      <c r="BD234" s="21"/>
      <c r="BH234" s="20">
        <v>0</v>
      </c>
      <c r="BI234">
        <v>0</v>
      </c>
      <c r="BJ234">
        <v>0</v>
      </c>
      <c r="BK234">
        <f>IFERROR(VLOOKUP(BJ234,EFid!$A$432:$B$501,2,FALSE),0)</f>
        <v>0</v>
      </c>
      <c r="BL234">
        <f t="shared" si="179"/>
        <v>0</v>
      </c>
      <c r="BM234" s="21"/>
      <c r="BN234" s="20">
        <f>Loomakasvatus!C74</f>
        <v>0</v>
      </c>
      <c r="BO234">
        <f>Loomakasvatus!D74/1000</f>
        <v>0</v>
      </c>
      <c r="BP234">
        <v>0</v>
      </c>
      <c r="BQ234">
        <f>IFERROR(VLOOKUP(BP234,EFid!$A$432:$B$484,2,FALSE),0)</f>
        <v>0</v>
      </c>
      <c r="BR234">
        <f t="shared" si="180"/>
        <v>0</v>
      </c>
      <c r="BS234" s="21"/>
      <c r="BT234" s="20">
        <v>0</v>
      </c>
      <c r="BU234">
        <v>0</v>
      </c>
      <c r="BV234">
        <v>0</v>
      </c>
      <c r="BW234">
        <f>IFERROR(VLOOKUP(BV234,EFid!$A$432:$B$501,2,FALSE),0)</f>
        <v>0</v>
      </c>
      <c r="BX234">
        <f t="shared" si="181"/>
        <v>0</v>
      </c>
      <c r="BY234" s="21"/>
    </row>
    <row r="235" spans="2:77">
      <c r="B235" s="20" t="s">
        <v>818</v>
      </c>
      <c r="E235" s="42">
        <f>IFERROR(E236*(14/17)*0.01*(44/28),0)</f>
        <v>0</v>
      </c>
      <c r="AY235" s="20">
        <f>Taimekasvatus!E129</f>
        <v>0</v>
      </c>
      <c r="AZ235">
        <f>Taimekasvatus!H129</f>
        <v>0</v>
      </c>
      <c r="BA235">
        <f>Taimekasvatus!F129/1000</f>
        <v>0</v>
      </c>
      <c r="BB235">
        <f>IFERROR(VLOOKUP(AZ235,EFid!$A$432:$B$501,2,FALSE),0)</f>
        <v>0</v>
      </c>
      <c r="BC235">
        <f t="shared" si="182"/>
        <v>0</v>
      </c>
      <c r="BD235" s="21"/>
      <c r="BH235" s="20">
        <v>0</v>
      </c>
      <c r="BI235">
        <v>0</v>
      </c>
      <c r="BJ235">
        <v>0</v>
      </c>
      <c r="BK235">
        <f>IFERROR(VLOOKUP(BJ235,EFid!$A$432:$B$501,2,FALSE),0)</f>
        <v>0</v>
      </c>
      <c r="BL235">
        <f t="shared" si="179"/>
        <v>0</v>
      </c>
      <c r="BM235" s="21"/>
      <c r="BN235" s="20">
        <f>Loomakasvatus!C75</f>
        <v>0</v>
      </c>
      <c r="BO235">
        <f>Loomakasvatus!D75/1000</f>
        <v>0</v>
      </c>
      <c r="BP235">
        <v>0</v>
      </c>
      <c r="BQ235">
        <f>IFERROR(VLOOKUP(BP235,EFid!$A$432:$B$484,2,FALSE),0)</f>
        <v>0</v>
      </c>
      <c r="BR235">
        <f t="shared" si="180"/>
        <v>0</v>
      </c>
      <c r="BS235" s="21"/>
      <c r="BT235" s="20">
        <v>0</v>
      </c>
      <c r="BU235">
        <v>0</v>
      </c>
      <c r="BV235">
        <v>0</v>
      </c>
      <c r="BW235">
        <f>IFERROR(VLOOKUP(BV235,EFid!$A$432:$B$501,2,FALSE),0)</f>
        <v>0</v>
      </c>
      <c r="BX235">
        <f t="shared" si="181"/>
        <v>0</v>
      </c>
      <c r="BY235" s="21"/>
    </row>
    <row r="236" spans="2:77">
      <c r="B236" s="85" t="s">
        <v>770</v>
      </c>
      <c r="C236" t="s">
        <v>771</v>
      </c>
      <c r="E236" s="21" t="e">
        <f>E199</f>
        <v>#N/A</v>
      </c>
      <c r="F236" t="s">
        <v>772</v>
      </c>
      <c r="AY236" s="20">
        <f>Taimekasvatus!E130</f>
        <v>0</v>
      </c>
      <c r="AZ236">
        <f>Taimekasvatus!H130</f>
        <v>0</v>
      </c>
      <c r="BA236">
        <f>Taimekasvatus!F130/1000</f>
        <v>0</v>
      </c>
      <c r="BB236">
        <f>IFERROR(VLOOKUP(AZ236,EFid!$A$432:$B$501,2,FALSE),0)</f>
        <v>0</v>
      </c>
      <c r="BC236">
        <f t="shared" si="182"/>
        <v>0</v>
      </c>
      <c r="BD236" s="21"/>
      <c r="BH236" s="20">
        <v>0</v>
      </c>
      <c r="BI236">
        <v>0</v>
      </c>
      <c r="BJ236">
        <v>0</v>
      </c>
      <c r="BK236">
        <f>IFERROR(VLOOKUP(BJ236,EFid!$A$432:$B$501,2,FALSE),0)</f>
        <v>0</v>
      </c>
      <c r="BL236">
        <f t="shared" si="179"/>
        <v>0</v>
      </c>
      <c r="BM236" s="21"/>
      <c r="BN236" s="20">
        <f>Loomakasvatus!C76</f>
        <v>0</v>
      </c>
      <c r="BO236">
        <f>Loomakasvatus!D76/1000</f>
        <v>0</v>
      </c>
      <c r="BP236">
        <v>0</v>
      </c>
      <c r="BQ236">
        <f>IFERROR(VLOOKUP(BP236,EFid!$A$432:$B$484,2,FALSE),0)</f>
        <v>0</v>
      </c>
      <c r="BR236">
        <f t="shared" si="180"/>
        <v>0</v>
      </c>
      <c r="BS236" s="21"/>
      <c r="BT236" s="20">
        <v>0</v>
      </c>
      <c r="BU236">
        <v>0</v>
      </c>
      <c r="BV236">
        <v>0</v>
      </c>
      <c r="BW236">
        <f>IFERROR(VLOOKUP(BV236,EFid!$A$432:$B$501,2,FALSE),0)</f>
        <v>0</v>
      </c>
      <c r="BX236">
        <f t="shared" si="181"/>
        <v>0</v>
      </c>
      <c r="BY236" s="21"/>
    </row>
    <row r="237" spans="2:77">
      <c r="B237" s="193" t="s">
        <v>819</v>
      </c>
      <c r="C237" s="178"/>
      <c r="D237" s="178"/>
      <c r="E237" s="194"/>
      <c r="AY237" s="20" t="str">
        <f>Taimekasvatus!E131</f>
        <v>Puhtimisvahendi nimi</v>
      </c>
      <c r="BB237">
        <f>IFERROR(VLOOKUP(AZ237,EFid!$A$432:$B$501,2,FALSE),0)</f>
        <v>0</v>
      </c>
      <c r="BC237">
        <f t="shared" si="182"/>
        <v>0</v>
      </c>
      <c r="BD237" s="21"/>
      <c r="BH237" s="20">
        <v>0</v>
      </c>
      <c r="BI237">
        <v>0</v>
      </c>
      <c r="BJ237">
        <v>0</v>
      </c>
      <c r="BK237">
        <f>IFERROR(VLOOKUP(BJ237,EFid!$A$432:$B$501,2,FALSE),0)</f>
        <v>0</v>
      </c>
      <c r="BL237">
        <f t="shared" si="179"/>
        <v>0</v>
      </c>
      <c r="BM237" s="21"/>
      <c r="BN237" s="20">
        <f>Loomakasvatus!C77</f>
        <v>0</v>
      </c>
      <c r="BO237">
        <f>Loomakasvatus!D77/1000</f>
        <v>0</v>
      </c>
      <c r="BP237">
        <v>0</v>
      </c>
      <c r="BQ237">
        <f>IFERROR(VLOOKUP(BP237,EFid!$A$432:$B$484,2,FALSE),0)</f>
        <v>0</v>
      </c>
      <c r="BR237">
        <f t="shared" si="180"/>
        <v>0</v>
      </c>
      <c r="BS237" s="21"/>
      <c r="BT237" s="20">
        <v>0</v>
      </c>
      <c r="BU237">
        <v>0</v>
      </c>
      <c r="BV237">
        <v>0</v>
      </c>
      <c r="BW237">
        <f>IFERROR(VLOOKUP(BV237,EFid!$A$432:$B$501,2,FALSE),0)</f>
        <v>0</v>
      </c>
      <c r="BX237">
        <f t="shared" si="181"/>
        <v>0</v>
      </c>
      <c r="BY237" s="21"/>
    </row>
    <row r="238" spans="2:77" ht="15" thickBot="1">
      <c r="B238" s="20" t="s">
        <v>820</v>
      </c>
      <c r="E238" s="187">
        <f>IFERROR(E239*(14/17)*0.01*(44/28),0)</f>
        <v>0</v>
      </c>
      <c r="AY238" s="20">
        <f>Taimekasvatus!E132</f>
        <v>0</v>
      </c>
      <c r="AZ238">
        <f>IFERROR(VLOOKUP(AY238,'EFid TK'!$J$108:$M$114,4,FALSE),0)</f>
        <v>0</v>
      </c>
      <c r="BA238">
        <f>Taimekasvatus!G132/1000</f>
        <v>0</v>
      </c>
      <c r="BB238">
        <f>IFERROR(VLOOKUP(AZ238,EFid!$A$432:$B$501,2,FALSE),0)</f>
        <v>0</v>
      </c>
      <c r="BC238">
        <f t="shared" si="182"/>
        <v>0</v>
      </c>
      <c r="BD238" s="21"/>
      <c r="BH238" s="20">
        <v>0</v>
      </c>
      <c r="BI238">
        <v>0</v>
      </c>
      <c r="BJ238">
        <v>0</v>
      </c>
      <c r="BK238">
        <f>IFERROR(VLOOKUP(BJ238,EFid!$A$432:$B$501,2,FALSE),0)</f>
        <v>0</v>
      </c>
      <c r="BL238">
        <f t="shared" si="179"/>
        <v>0</v>
      </c>
      <c r="BM238" s="21"/>
      <c r="BN238" s="58">
        <f>Loomakasvatus!C78</f>
        <v>0</v>
      </c>
      <c r="BO238">
        <f>Loomakasvatus!D78/1000</f>
        <v>0</v>
      </c>
      <c r="BP238" s="36">
        <v>0</v>
      </c>
      <c r="BQ238" s="36">
        <f>IFERROR(VLOOKUP(BP238,EFid!$A$432:$B$484,2,FALSE),0)</f>
        <v>0</v>
      </c>
      <c r="BR238" s="36">
        <f t="shared" si="180"/>
        <v>0</v>
      </c>
      <c r="BS238" s="37"/>
      <c r="BT238" s="58">
        <v>0</v>
      </c>
      <c r="BU238" s="36">
        <v>0</v>
      </c>
      <c r="BV238" s="36">
        <v>0</v>
      </c>
      <c r="BW238" s="36">
        <f>IFERROR(VLOOKUP(BV238,EFid!$A$432:$B$501,2,FALSE),0)</f>
        <v>0</v>
      </c>
      <c r="BX238" s="36">
        <f t="shared" si="181"/>
        <v>0</v>
      </c>
      <c r="BY238" s="37"/>
    </row>
    <row r="239" spans="2:77" ht="15" thickBot="1">
      <c r="B239" s="125" t="s">
        <v>789</v>
      </c>
      <c r="C239" s="36" t="s">
        <v>790</v>
      </c>
      <c r="D239" s="36"/>
      <c r="E239" s="37" t="e">
        <f>E214</f>
        <v>#N/A</v>
      </c>
      <c r="F239" t="s">
        <v>772</v>
      </c>
      <c r="AY239" s="20">
        <f>Taimekasvatus!E133</f>
        <v>0</v>
      </c>
      <c r="AZ239">
        <f>IFERROR(VLOOKUP(AY239,'EFid TK'!$J$108:$M$114,4,FALSE),0)</f>
        <v>0</v>
      </c>
      <c r="BA239">
        <f>Taimekasvatus!G133/1000</f>
        <v>0</v>
      </c>
      <c r="BB239">
        <f>IFERROR(VLOOKUP(AZ239,EFid!$A$432:$B$501,2,FALSE),0)</f>
        <v>0</v>
      </c>
      <c r="BC239">
        <f t="shared" si="182"/>
        <v>0</v>
      </c>
      <c r="BD239" s="21"/>
      <c r="BH239" s="20">
        <v>0</v>
      </c>
      <c r="BI239">
        <v>0</v>
      </c>
      <c r="BJ239">
        <v>0</v>
      </c>
      <c r="BK239">
        <f>IFERROR(VLOOKUP(BJ239,EFid!$A$432:$B$501,2,FALSE),0)</f>
        <v>0</v>
      </c>
      <c r="BL239">
        <f t="shared" si="179"/>
        <v>0</v>
      </c>
      <c r="BM239" s="21"/>
    </row>
    <row r="240" spans="2:77" ht="15" thickBot="1">
      <c r="B240" s="112"/>
      <c r="AY240" s="20">
        <f>Taimekasvatus!E134</f>
        <v>0</v>
      </c>
      <c r="AZ240">
        <f>IFERROR(VLOOKUP(AY240,'EFid TK'!$J$108:$M$114,4,FALSE),0)</f>
        <v>0</v>
      </c>
      <c r="BA240">
        <f>Taimekasvatus!G134/1000</f>
        <v>0</v>
      </c>
      <c r="BB240">
        <f>IFERROR(VLOOKUP(AZ240,EFid!$A$432:$B$501,2,FALSE),0)</f>
        <v>0</v>
      </c>
      <c r="BC240">
        <f t="shared" si="182"/>
        <v>0</v>
      </c>
      <c r="BD240" s="21"/>
      <c r="BH240" s="58">
        <v>0</v>
      </c>
      <c r="BI240" s="36">
        <v>0</v>
      </c>
      <c r="BJ240" s="36">
        <v>0</v>
      </c>
      <c r="BK240" s="36">
        <f>IFERROR(VLOOKUP(BJ240,EFid!$A$432:$B$501,2,FALSE),0)</f>
        <v>0</v>
      </c>
      <c r="BL240" s="36">
        <f t="shared" si="179"/>
        <v>0</v>
      </c>
      <c r="BM240" s="37"/>
    </row>
    <row r="241" spans="2:65">
      <c r="AY241" s="20">
        <f>Taimekasvatus!E135</f>
        <v>0</v>
      </c>
      <c r="AZ241">
        <f>IFERROR(VLOOKUP(AY241,'EFid TK'!$J$108:$M$114,4,FALSE),0)</f>
        <v>0</v>
      </c>
      <c r="BA241">
        <f>Taimekasvatus!G135/1000</f>
        <v>0</v>
      </c>
      <c r="BB241">
        <f>IFERROR(VLOOKUP(AZ241,EFid!$A$432:$B$501,2,FALSE),0)</f>
        <v>0</v>
      </c>
      <c r="BC241">
        <f t="shared" si="182"/>
        <v>0</v>
      </c>
      <c r="BD241" s="21"/>
    </row>
    <row r="242" spans="2:65" ht="15" thickBot="1">
      <c r="AY242" s="20">
        <f>Taimekasvatus!E136</f>
        <v>0</v>
      </c>
      <c r="AZ242">
        <f>IFERROR(VLOOKUP(AY242,'EFid TK'!$J$108:$M$114,4,FALSE),0)</f>
        <v>0</v>
      </c>
      <c r="BA242">
        <f>Taimekasvatus!G136/1000</f>
        <v>0</v>
      </c>
      <c r="BB242">
        <f>IFERROR(VLOOKUP(AZ242,EFid!$A$432:$B$501,2,FALSE),0)</f>
        <v>0</v>
      </c>
      <c r="BC242">
        <f t="shared" si="182"/>
        <v>0</v>
      </c>
      <c r="BD242" s="21"/>
    </row>
    <row r="243" spans="2:65" ht="15" thickBot="1">
      <c r="B243" s="1340" t="s">
        <v>825</v>
      </c>
      <c r="C243" s="1340"/>
      <c r="D243" s="1340"/>
      <c r="E243" s="1340"/>
      <c r="AY243" s="20">
        <f>Taimekasvatus!E137</f>
        <v>0</v>
      </c>
      <c r="AZ243">
        <f>IFERROR(VLOOKUP(AY243,'EFid TK'!$J$108:$M$114,4,FALSE),0)</f>
        <v>0</v>
      </c>
      <c r="BA243">
        <f>Taimekasvatus!G137/1000</f>
        <v>0</v>
      </c>
      <c r="BB243">
        <f>IFERROR(VLOOKUP(AZ243,EFid!$A$432:$B$501,2,FALSE),0)</f>
        <v>0</v>
      </c>
      <c r="BC243">
        <f t="shared" si="182"/>
        <v>0</v>
      </c>
      <c r="BD243" s="21"/>
    </row>
    <row r="244" spans="2:65">
      <c r="B244" s="20"/>
      <c r="E244" s="21"/>
      <c r="G244" s="1" t="s">
        <v>826</v>
      </c>
      <c r="AY244" s="20">
        <f>Taimekasvatus!E138</f>
        <v>0</v>
      </c>
      <c r="AZ244">
        <f>IFERROR(VLOOKUP(AY244,'EFid TK'!$J$108:$M$114,4,FALSE),0)</f>
        <v>0</v>
      </c>
      <c r="BA244">
        <f>Taimekasvatus!G138/1000</f>
        <v>0</v>
      </c>
      <c r="BB244">
        <f>IFERROR(VLOOKUP(AZ244,EFid!$A$432:$B$501,2,FALSE),0)</f>
        <v>0</v>
      </c>
      <c r="BC244">
        <f t="shared" si="182"/>
        <v>0</v>
      </c>
      <c r="BD244" s="21"/>
    </row>
    <row r="245" spans="2:65">
      <c r="B245" s="193" t="s">
        <v>728</v>
      </c>
      <c r="C245" s="178"/>
      <c r="D245" s="178"/>
      <c r="E245" s="194"/>
      <c r="AY245" s="20" t="str">
        <f>Taimekasvatus!E139</f>
        <v>Kultuur</v>
      </c>
      <c r="AZ245" t="str">
        <f>Taimekasvatus!H139</f>
        <v>Päritolumaa</v>
      </c>
      <c r="BB245">
        <f>IFERROR(VLOOKUP(AZ245,EFid!$A$432:$B$501,2,FALSE),0)</f>
        <v>0</v>
      </c>
      <c r="BC245">
        <f t="shared" si="182"/>
        <v>0</v>
      </c>
      <c r="BD245" s="445">
        <f>SUM(BC246:BC257)</f>
        <v>0</v>
      </c>
    </row>
    <row r="246" spans="2:65">
      <c r="B246" s="188" t="s">
        <v>729</v>
      </c>
      <c r="C246" s="189"/>
      <c r="D246" s="189"/>
      <c r="E246" s="190"/>
      <c r="G246" s="1" t="str">
        <f>Loomakasvatus!C13</f>
        <v>Piimalehmad (5000 kg)</v>
      </c>
      <c r="H246" s="1" t="str">
        <f>Loomakasvatus!D13</f>
        <v>Piimalehmad (6000 kg)</v>
      </c>
      <c r="I246" s="1" t="str">
        <f>Loomakasvatus!E13</f>
        <v>Piimalehmad (7000 kg)</v>
      </c>
      <c r="J246" s="1" t="str">
        <f>Loomakasvatus!F13</f>
        <v>Piimalehmad (8000 kg)</v>
      </c>
      <c r="K246" s="1" t="str">
        <f>Loomakasvatus!G13</f>
        <v>Piimalehmad (9000 kg)</v>
      </c>
      <c r="L246" s="1" t="str">
        <f>Loomakasvatus!H13</f>
        <v>Piimalehmad (10000 kg)</v>
      </c>
      <c r="M246" s="1" t="str">
        <f>Loomakasvatus!I13</f>
        <v>Ammlehmad</v>
      </c>
      <c r="N246" s="1" t="str">
        <f>Loomakasvatus!J13</f>
        <v>Muud veised</v>
      </c>
      <c r="O246" s="1" t="str">
        <f>Loomakasvatus!K13</f>
        <v>Lehmvasikad</v>
      </c>
      <c r="P246" s="1" t="str">
        <f>Loomakasvatus!L13</f>
        <v>Pullvasikad</v>
      </c>
      <c r="Q246" s="1" t="str">
        <f>Loomakasvatus!M13</f>
        <v>Lehmmullikad</v>
      </c>
      <c r="R246" s="1" t="str">
        <f>Loomakasvatus!N13</f>
        <v>Pullmullikad</v>
      </c>
      <c r="AY246" s="20">
        <f>Taimekasvatus!E140</f>
        <v>0</v>
      </c>
      <c r="AZ246">
        <f>Taimekasvatus!H140</f>
        <v>0</v>
      </c>
      <c r="BA246">
        <f>Taimekasvatus!G140/1000</f>
        <v>0</v>
      </c>
      <c r="BB246">
        <f>IFERROR(VLOOKUP(AZ246,EFid!$A$432:$B$501,2,FALSE),0)</f>
        <v>0</v>
      </c>
      <c r="BC246">
        <f t="shared" si="182"/>
        <v>0</v>
      </c>
      <c r="BD246" s="21"/>
    </row>
    <row r="247" spans="2:65" ht="15" thickBot="1">
      <c r="B247" s="115" t="s">
        <v>731</v>
      </c>
      <c r="C247" s="31" t="s">
        <v>732</v>
      </c>
      <c r="E247" s="815" t="e">
        <f>E248*E249/1000</f>
        <v>#REF!</v>
      </c>
      <c r="F247" t="s">
        <v>135</v>
      </c>
      <c r="G247" s="42">
        <f>G248*G249/1000</f>
        <v>0</v>
      </c>
      <c r="H247" s="42">
        <f t="shared" ref="H247:R247" si="183">H248*H249/1000</f>
        <v>0</v>
      </c>
      <c r="I247" s="42">
        <f t="shared" si="183"/>
        <v>0</v>
      </c>
      <c r="J247" s="42">
        <f t="shared" si="183"/>
        <v>0</v>
      </c>
      <c r="K247" s="42">
        <f t="shared" si="183"/>
        <v>0</v>
      </c>
      <c r="L247" s="42">
        <f t="shared" si="183"/>
        <v>0</v>
      </c>
      <c r="M247" s="42">
        <f t="shared" si="183"/>
        <v>0</v>
      </c>
      <c r="N247" s="42">
        <f t="shared" si="183"/>
        <v>0</v>
      </c>
      <c r="O247" s="42">
        <f t="shared" si="183"/>
        <v>0</v>
      </c>
      <c r="P247" s="42">
        <f t="shared" si="183"/>
        <v>0</v>
      </c>
      <c r="Q247" s="42">
        <f t="shared" si="183"/>
        <v>0</v>
      </c>
      <c r="R247" s="42">
        <f t="shared" si="183"/>
        <v>0</v>
      </c>
      <c r="AY247" s="20">
        <f>Taimekasvatus!E141</f>
        <v>0</v>
      </c>
      <c r="AZ247">
        <f>Taimekasvatus!H141</f>
        <v>0</v>
      </c>
      <c r="BA247">
        <f>Taimekasvatus!G141/1000</f>
        <v>0</v>
      </c>
      <c r="BB247">
        <f>IFERROR(VLOOKUP(AZ247,EFid!$A$432:$B$501,2,FALSE),0)</f>
        <v>0</v>
      </c>
      <c r="BC247">
        <f t="shared" si="182"/>
        <v>0</v>
      </c>
      <c r="BD247" s="21"/>
    </row>
    <row r="248" spans="2:65">
      <c r="B248" s="115" t="s">
        <v>734</v>
      </c>
      <c r="C248" s="31" t="s">
        <v>735</v>
      </c>
      <c r="D248" s="33"/>
      <c r="E248" s="816" t="e">
        <f>Loomakasvatus!#REF!</f>
        <v>#REF!</v>
      </c>
      <c r="F248" t="s">
        <v>736</v>
      </c>
      <c r="G248" s="811">
        <f>Loomakasvatus!C21</f>
        <v>0</v>
      </c>
      <c r="H248" s="811">
        <f>Loomakasvatus!D21</f>
        <v>0</v>
      </c>
      <c r="I248" s="811">
        <f>Loomakasvatus!E21</f>
        <v>0</v>
      </c>
      <c r="J248" s="811">
        <f>Loomakasvatus!F21</f>
        <v>0</v>
      </c>
      <c r="K248" s="811">
        <f>Loomakasvatus!G21</f>
        <v>0</v>
      </c>
      <c r="L248" s="811">
        <f>Loomakasvatus!H21</f>
        <v>0</v>
      </c>
      <c r="M248" s="811">
        <f>Loomakasvatus!I21</f>
        <v>0</v>
      </c>
      <c r="N248" s="811">
        <f>Loomakasvatus!J21</f>
        <v>0</v>
      </c>
      <c r="O248" s="811">
        <f>Loomakasvatus!K21</f>
        <v>0</v>
      </c>
      <c r="P248" s="811">
        <f>Loomakasvatus!L21</f>
        <v>0</v>
      </c>
      <c r="Q248" s="811">
        <f>Loomakasvatus!M21</f>
        <v>0</v>
      </c>
      <c r="R248" s="811">
        <f>Loomakasvatus!N21</f>
        <v>0</v>
      </c>
      <c r="AY248" s="20">
        <f>Taimekasvatus!E142</f>
        <v>0</v>
      </c>
      <c r="AZ248">
        <f>Taimekasvatus!H142</f>
        <v>0</v>
      </c>
      <c r="BA248">
        <f>Taimekasvatus!G142/1000</f>
        <v>0</v>
      </c>
      <c r="BB248">
        <f>IFERROR(VLOOKUP(AZ248,EFid!$A$432:$B$501,2,FALSE),0)</f>
        <v>0</v>
      </c>
      <c r="BC248">
        <f t="shared" si="182"/>
        <v>0</v>
      </c>
      <c r="BD248" s="21"/>
      <c r="BH248" s="90" t="s">
        <v>183</v>
      </c>
      <c r="BI248" s="16"/>
      <c r="BJ248" s="16"/>
      <c r="BK248" s="16"/>
      <c r="BL248" s="16"/>
      <c r="BM248" s="17"/>
    </row>
    <row r="249" spans="2:65">
      <c r="B249" s="342" t="s">
        <v>737</v>
      </c>
      <c r="C249" s="343" t="s">
        <v>738</v>
      </c>
      <c r="D249" s="49"/>
      <c r="E249" s="817" t="e">
        <f>Loomakasvatus!#REF!</f>
        <v>#REF!</v>
      </c>
      <c r="F249" t="s">
        <v>135</v>
      </c>
      <c r="G249" s="811">
        <f>Loomakasvatus!C20</f>
        <v>0</v>
      </c>
      <c r="H249" s="811">
        <f>Loomakasvatus!D20</f>
        <v>0</v>
      </c>
      <c r="I249" s="811">
        <f>Loomakasvatus!E20</f>
        <v>0</v>
      </c>
      <c r="J249" s="811">
        <f>Loomakasvatus!F20</f>
        <v>0</v>
      </c>
      <c r="K249" s="811">
        <f>Loomakasvatus!G20</f>
        <v>0</v>
      </c>
      <c r="L249" s="811">
        <f>Loomakasvatus!H20</f>
        <v>0</v>
      </c>
      <c r="M249" s="811">
        <f>Loomakasvatus!I20</f>
        <v>0</v>
      </c>
      <c r="N249" s="811">
        <f>Loomakasvatus!J20</f>
        <v>0</v>
      </c>
      <c r="O249" s="811">
        <f>Loomakasvatus!K20</f>
        <v>0</v>
      </c>
      <c r="P249" s="811">
        <f>Loomakasvatus!L20</f>
        <v>0</v>
      </c>
      <c r="Q249" s="811">
        <f>Loomakasvatus!M20</f>
        <v>0</v>
      </c>
      <c r="R249" s="811">
        <f>Loomakasvatus!N20</f>
        <v>0</v>
      </c>
      <c r="AY249" s="20">
        <f>Taimekasvatus!E143</f>
        <v>0</v>
      </c>
      <c r="AZ249">
        <f>Taimekasvatus!H143</f>
        <v>0</v>
      </c>
      <c r="BA249">
        <f>Taimekasvatus!G143/1000</f>
        <v>0</v>
      </c>
      <c r="BB249">
        <f>IFERROR(VLOOKUP(AZ249,EFid!$A$432:$B$501,2,FALSE),0)</f>
        <v>0</v>
      </c>
      <c r="BC249">
        <f t="shared" si="182"/>
        <v>0</v>
      </c>
      <c r="BD249" s="21"/>
      <c r="BH249" s="80" t="s">
        <v>821</v>
      </c>
      <c r="BI249" s="1" t="s">
        <v>108</v>
      </c>
      <c r="BJ249" s="1" t="s">
        <v>88</v>
      </c>
      <c r="BK249" s="1" t="s">
        <v>822</v>
      </c>
      <c r="BL249" s="153" t="s">
        <v>517</v>
      </c>
      <c r="BM249" s="445">
        <f>SUM(BL250:BL264)</f>
        <v>0</v>
      </c>
    </row>
    <row r="250" spans="2:65">
      <c r="B250" s="196" t="s">
        <v>827</v>
      </c>
      <c r="C250" s="195"/>
      <c r="D250" s="195"/>
      <c r="E250" s="197"/>
      <c r="AY250" s="20">
        <f>Taimekasvatus!E144</f>
        <v>0</v>
      </c>
      <c r="AZ250">
        <f>Taimekasvatus!H144</f>
        <v>0</v>
      </c>
      <c r="BA250">
        <f>Taimekasvatus!G144/1000</f>
        <v>0</v>
      </c>
      <c r="BB250">
        <f>IFERROR(VLOOKUP(AZ250,EFid!$A$432:$B$501,2,FALSE),0)</f>
        <v>0</v>
      </c>
      <c r="BC250">
        <f t="shared" si="182"/>
        <v>0</v>
      </c>
      <c r="BD250" s="21"/>
      <c r="BH250" s="20" cm="1">
        <f t="array" ref="BH250:BH264">Loomakasvatus!B593:B607</f>
        <v>0</v>
      </c>
      <c r="BI250" cm="1">
        <f t="array" ref="BI250:BI264">Loomakasvatus!D593:D607/1000</f>
        <v>0</v>
      </c>
      <c r="BJ250" cm="1">
        <f t="array" ref="BJ250:BJ264">Loomakasvatus!C593:C607</f>
        <v>0</v>
      </c>
      <c r="BK250">
        <f>IFERROR(VLOOKUP(BJ250,EFid!$A$432:$B$501,2,FALSE),0)</f>
        <v>0</v>
      </c>
      <c r="BL250">
        <f>BI250*BK250</f>
        <v>0</v>
      </c>
      <c r="BM250" s="21"/>
    </row>
    <row r="251" spans="2:65">
      <c r="B251" s="188" t="s">
        <v>828</v>
      </c>
      <c r="C251" s="189"/>
      <c r="D251" s="189"/>
      <c r="E251" s="190"/>
      <c r="AY251" s="20">
        <f>Taimekasvatus!E145</f>
        <v>0</v>
      </c>
      <c r="AZ251">
        <f>Taimekasvatus!H145</f>
        <v>0</v>
      </c>
      <c r="BA251">
        <f>Taimekasvatus!G145/1000</f>
        <v>0</v>
      </c>
      <c r="BB251">
        <f>IFERROR(VLOOKUP(AZ251,EFid!$A$432:$B$501,2,FALSE),0)</f>
        <v>0</v>
      </c>
      <c r="BC251">
        <f t="shared" si="182"/>
        <v>0</v>
      </c>
      <c r="BD251" s="21"/>
      <c r="BH251" s="20">
        <v>0</v>
      </c>
      <c r="BI251">
        <v>0</v>
      </c>
      <c r="BJ251">
        <v>0</v>
      </c>
      <c r="BK251">
        <f>IFERROR(VLOOKUP(BJ251,EFid!$A$432:$B$501,2,FALSE),0)</f>
        <v>0</v>
      </c>
      <c r="BL251">
        <f t="shared" ref="BL251:BL276" si="184">BI251*BK251</f>
        <v>0</v>
      </c>
      <c r="BM251" s="21"/>
    </row>
    <row r="252" spans="2:65">
      <c r="B252" s="115" t="s">
        <v>829</v>
      </c>
      <c r="C252" s="31" t="s">
        <v>830</v>
      </c>
      <c r="E252" s="815" t="e">
        <f>E253*E254/1000</f>
        <v>#REF!</v>
      </c>
      <c r="F252" t="s">
        <v>135</v>
      </c>
      <c r="G252" s="42">
        <f>G253*G254/1000</f>
        <v>0</v>
      </c>
      <c r="H252" s="42">
        <f t="shared" ref="H252:R252" si="185">H253*H254/1000</f>
        <v>0</v>
      </c>
      <c r="I252" s="42">
        <f t="shared" si="185"/>
        <v>0</v>
      </c>
      <c r="J252" s="42">
        <f t="shared" si="185"/>
        <v>0</v>
      </c>
      <c r="K252" s="42">
        <f t="shared" si="185"/>
        <v>0</v>
      </c>
      <c r="L252" s="42">
        <f t="shared" si="185"/>
        <v>0</v>
      </c>
      <c r="M252" s="42">
        <f t="shared" si="185"/>
        <v>0</v>
      </c>
      <c r="N252" s="42">
        <f t="shared" si="185"/>
        <v>0</v>
      </c>
      <c r="O252" s="42">
        <f t="shared" si="185"/>
        <v>0</v>
      </c>
      <c r="P252" s="42">
        <f t="shared" si="185"/>
        <v>0</v>
      </c>
      <c r="Q252" s="42">
        <f t="shared" si="185"/>
        <v>0</v>
      </c>
      <c r="R252" s="42">
        <f t="shared" si="185"/>
        <v>0</v>
      </c>
      <c r="AY252" s="20">
        <f>Taimekasvatus!E146</f>
        <v>0</v>
      </c>
      <c r="AZ252">
        <f>Taimekasvatus!H146</f>
        <v>0</v>
      </c>
      <c r="BA252">
        <f>Taimekasvatus!G146/1000</f>
        <v>0</v>
      </c>
      <c r="BB252">
        <f>IFERROR(VLOOKUP(AZ252,EFid!$A$432:$B$501,2,FALSE),0)</f>
        <v>0</v>
      </c>
      <c r="BC252">
        <f t="shared" si="182"/>
        <v>0</v>
      </c>
      <c r="BD252" s="21"/>
      <c r="BH252" s="20">
        <v>0</v>
      </c>
      <c r="BI252">
        <v>0</v>
      </c>
      <c r="BJ252">
        <v>0</v>
      </c>
      <c r="BK252">
        <f>IFERROR(VLOOKUP(BJ252,EFid!$A$432:$B$501,2,FALSE),0)</f>
        <v>0</v>
      </c>
      <c r="BL252">
        <f t="shared" si="184"/>
        <v>0</v>
      </c>
      <c r="BM252" s="21"/>
    </row>
    <row r="253" spans="2:65">
      <c r="B253" s="115" t="s">
        <v>831</v>
      </c>
      <c r="C253" s="31" t="s">
        <v>832</v>
      </c>
      <c r="D253" s="33"/>
      <c r="E253" s="816" t="e">
        <f>Loomakasvatus!#REF!</f>
        <v>#REF!</v>
      </c>
      <c r="F253" t="s">
        <v>736</v>
      </c>
      <c r="G253" s="811">
        <f>Loomakasvatus!C25</f>
        <v>0</v>
      </c>
      <c r="H253" s="811">
        <f>Loomakasvatus!D25</f>
        <v>0</v>
      </c>
      <c r="I253" s="811">
        <f>Loomakasvatus!E25</f>
        <v>0</v>
      </c>
      <c r="J253" s="811">
        <f>Loomakasvatus!F25</f>
        <v>0</v>
      </c>
      <c r="K253" s="811">
        <f>Loomakasvatus!G25</f>
        <v>0</v>
      </c>
      <c r="L253" s="811">
        <f>Loomakasvatus!H25</f>
        <v>0</v>
      </c>
      <c r="M253" s="811">
        <f>Loomakasvatus!I25</f>
        <v>0</v>
      </c>
      <c r="N253" s="811">
        <f>Loomakasvatus!J25</f>
        <v>0</v>
      </c>
      <c r="O253" s="811">
        <f>Loomakasvatus!K25</f>
        <v>0</v>
      </c>
      <c r="P253" s="811">
        <f>Loomakasvatus!L25</f>
        <v>0</v>
      </c>
      <c r="Q253" s="811">
        <f>Loomakasvatus!M25</f>
        <v>0</v>
      </c>
      <c r="R253" s="811">
        <f>Loomakasvatus!N25</f>
        <v>0</v>
      </c>
      <c r="AY253" s="20">
        <f>Taimekasvatus!E147</f>
        <v>0</v>
      </c>
      <c r="AZ253">
        <f>Taimekasvatus!H147</f>
        <v>0</v>
      </c>
      <c r="BA253">
        <f>Taimekasvatus!G147/1000</f>
        <v>0</v>
      </c>
      <c r="BB253">
        <f>IFERROR(VLOOKUP(AZ253,EFid!$A$432:$B$501,2,FALSE),0)</f>
        <v>0</v>
      </c>
      <c r="BC253">
        <f t="shared" si="182"/>
        <v>0</v>
      </c>
      <c r="BD253" s="21"/>
      <c r="BH253" s="20">
        <v>0</v>
      </c>
      <c r="BI253">
        <v>0</v>
      </c>
      <c r="BJ253">
        <v>0</v>
      </c>
      <c r="BK253">
        <f>IFERROR(VLOOKUP(BJ253,EFid!$A$432:$B$501,2,FALSE),0)</f>
        <v>0</v>
      </c>
      <c r="BL253">
        <f t="shared" si="184"/>
        <v>0</v>
      </c>
      <c r="BM253" s="21"/>
    </row>
    <row r="254" spans="2:65">
      <c r="B254" s="342" t="s">
        <v>833</v>
      </c>
      <c r="C254" s="343" t="s">
        <v>834</v>
      </c>
      <c r="D254" s="49"/>
      <c r="E254" s="817" t="e">
        <f>Loomakasvatus!#REF!</f>
        <v>#REF!</v>
      </c>
      <c r="F254" t="s">
        <v>135</v>
      </c>
      <c r="G254" s="811">
        <f>Loomakasvatus!C24</f>
        <v>0</v>
      </c>
      <c r="H254" s="811">
        <f>Loomakasvatus!D24</f>
        <v>0</v>
      </c>
      <c r="I254" s="811">
        <f>Loomakasvatus!E24</f>
        <v>0</v>
      </c>
      <c r="J254" s="811">
        <f>Loomakasvatus!F24</f>
        <v>0</v>
      </c>
      <c r="K254" s="811">
        <f>Loomakasvatus!G24</f>
        <v>0</v>
      </c>
      <c r="L254" s="811">
        <f>Loomakasvatus!H24</f>
        <v>0</v>
      </c>
      <c r="M254" s="811">
        <f>Loomakasvatus!I24</f>
        <v>0</v>
      </c>
      <c r="N254" s="811">
        <f>Loomakasvatus!J24</f>
        <v>0</v>
      </c>
      <c r="O254" s="811">
        <f>Loomakasvatus!K24</f>
        <v>0</v>
      </c>
      <c r="P254" s="811">
        <f>Loomakasvatus!L24</f>
        <v>0</v>
      </c>
      <c r="Q254" s="811">
        <f>Loomakasvatus!M24</f>
        <v>0</v>
      </c>
      <c r="R254" s="811">
        <f>Loomakasvatus!N24</f>
        <v>0</v>
      </c>
      <c r="AY254" s="20">
        <f>Taimekasvatus!E148</f>
        <v>0</v>
      </c>
      <c r="AZ254">
        <f>Taimekasvatus!H148</f>
        <v>0</v>
      </c>
      <c r="BA254">
        <f>Taimekasvatus!G148/1000</f>
        <v>0</v>
      </c>
      <c r="BB254">
        <f>IFERROR(VLOOKUP(AZ254,EFid!$A$432:$B$501,2,FALSE),0)</f>
        <v>0</v>
      </c>
      <c r="BC254">
        <f t="shared" si="182"/>
        <v>0</v>
      </c>
      <c r="BD254" s="21"/>
      <c r="BH254" s="20">
        <v>0</v>
      </c>
      <c r="BI254">
        <v>0</v>
      </c>
      <c r="BJ254">
        <v>0</v>
      </c>
      <c r="BK254">
        <f>IFERROR(VLOOKUP(BJ254,EFid!$A$432:$B$501,2,FALSE),0)</f>
        <v>0</v>
      </c>
      <c r="BL254">
        <f t="shared" si="184"/>
        <v>0</v>
      </c>
      <c r="BM254" s="21"/>
    </row>
    <row r="255" spans="2:65">
      <c r="B255" s="193" t="s">
        <v>835</v>
      </c>
      <c r="C255" s="178"/>
      <c r="D255" s="178"/>
      <c r="E255" s="194"/>
      <c r="AY255" s="20">
        <f>Taimekasvatus!E149</f>
        <v>0</v>
      </c>
      <c r="AZ255">
        <f>Taimekasvatus!H149</f>
        <v>0</v>
      </c>
      <c r="BA255">
        <f>Taimekasvatus!G149/1000</f>
        <v>0</v>
      </c>
      <c r="BB255">
        <f>IFERROR(VLOOKUP(AZ255,EFid!$A$432:$B$501,2,FALSE),0)</f>
        <v>0</v>
      </c>
      <c r="BC255">
        <f t="shared" si="182"/>
        <v>0</v>
      </c>
      <c r="BD255" s="21"/>
      <c r="BH255" s="20">
        <v>0</v>
      </c>
      <c r="BI255">
        <v>0</v>
      </c>
      <c r="BJ255">
        <v>0</v>
      </c>
      <c r="BK255">
        <f>IFERROR(VLOOKUP(BJ255,EFid!$A$432:$B$501,2,FALSE),0)</f>
        <v>0</v>
      </c>
      <c r="BL255">
        <f t="shared" si="184"/>
        <v>0</v>
      </c>
      <c r="BM255" s="21"/>
    </row>
    <row r="256" spans="2:65">
      <c r="B256" s="188" t="s">
        <v>836</v>
      </c>
      <c r="C256" s="189"/>
      <c r="D256" s="189"/>
      <c r="E256" s="190"/>
      <c r="AY256" s="20">
        <f>Taimekasvatus!E150</f>
        <v>0</v>
      </c>
      <c r="AZ256">
        <f>Taimekasvatus!H150</f>
        <v>0</v>
      </c>
      <c r="BA256">
        <f>Taimekasvatus!G150/1000</f>
        <v>0</v>
      </c>
      <c r="BB256">
        <f>IFERROR(VLOOKUP(AZ256,EFid!$A$432:$B$501,2,FALSE),0)</f>
        <v>0</v>
      </c>
      <c r="BC256">
        <f t="shared" si="182"/>
        <v>0</v>
      </c>
      <c r="BD256" s="21"/>
      <c r="BH256" s="20">
        <v>0</v>
      </c>
      <c r="BI256">
        <v>0</v>
      </c>
      <c r="BJ256">
        <v>0</v>
      </c>
      <c r="BK256">
        <f>IFERROR(VLOOKUP(BJ256,EFid!$A$432:$B$501,2,FALSE),0)</f>
        <v>0</v>
      </c>
      <c r="BL256">
        <f t="shared" si="184"/>
        <v>0</v>
      </c>
      <c r="BM256" s="21"/>
    </row>
    <row r="257" spans="2:65" ht="15" thickBot="1">
      <c r="B257" s="115" t="s">
        <v>837</v>
      </c>
      <c r="C257" s="31" t="s">
        <v>838</v>
      </c>
      <c r="E257" s="815" t="e">
        <f>E258*E259/1000</f>
        <v>#REF!</v>
      </c>
      <c r="F257" t="s">
        <v>135</v>
      </c>
      <c r="G257" s="42">
        <f>G258*G259/1000</f>
        <v>0</v>
      </c>
      <c r="H257" s="42">
        <f t="shared" ref="H257:R257" si="186">H258*H259/1000</f>
        <v>0</v>
      </c>
      <c r="I257" s="42">
        <f t="shared" si="186"/>
        <v>0</v>
      </c>
      <c r="J257" s="42">
        <f t="shared" si="186"/>
        <v>0</v>
      </c>
      <c r="K257" s="42">
        <f t="shared" si="186"/>
        <v>0</v>
      </c>
      <c r="L257" s="42">
        <f t="shared" si="186"/>
        <v>0</v>
      </c>
      <c r="M257" s="42">
        <f t="shared" si="186"/>
        <v>0</v>
      </c>
      <c r="N257" s="42">
        <f t="shared" si="186"/>
        <v>0</v>
      </c>
      <c r="O257" s="42">
        <f t="shared" si="186"/>
        <v>0</v>
      </c>
      <c r="P257" s="42">
        <f t="shared" si="186"/>
        <v>0</v>
      </c>
      <c r="Q257" s="42">
        <f t="shared" si="186"/>
        <v>0</v>
      </c>
      <c r="R257" s="42">
        <f t="shared" si="186"/>
        <v>0</v>
      </c>
      <c r="AY257" s="58">
        <f>Taimekasvatus!E151</f>
        <v>0</v>
      </c>
      <c r="AZ257" s="36">
        <f>Taimekasvatus!H151</f>
        <v>0</v>
      </c>
      <c r="BA257">
        <f>Taimekasvatus!G151/1000</f>
        <v>0</v>
      </c>
      <c r="BB257" s="36">
        <f>IFERROR(VLOOKUP(AZ257,EFid!$A$432:$B$501,2,FALSE),0)</f>
        <v>0</v>
      </c>
      <c r="BC257" s="36">
        <f t="shared" si="182"/>
        <v>0</v>
      </c>
      <c r="BD257" s="37"/>
      <c r="BH257" s="20">
        <v>0</v>
      </c>
      <c r="BI257">
        <v>0</v>
      </c>
      <c r="BJ257">
        <v>0</v>
      </c>
      <c r="BK257">
        <f>IFERROR(VLOOKUP(BJ257,EFid!$A$432:$B$501,2,FALSE),0)</f>
        <v>0</v>
      </c>
      <c r="BL257">
        <f t="shared" si="184"/>
        <v>0</v>
      </c>
      <c r="BM257" s="21"/>
    </row>
    <row r="258" spans="2:65">
      <c r="B258" s="344" t="s">
        <v>839</v>
      </c>
      <c r="C258" s="31" t="s">
        <v>840</v>
      </c>
      <c r="E258" s="815"/>
      <c r="F258" t="s">
        <v>736</v>
      </c>
      <c r="G258" s="811">
        <f>'M1 - LK'!$U$173</f>
        <v>25.6</v>
      </c>
      <c r="H258" s="811">
        <f>'M1 - LK'!$U$173</f>
        <v>25.6</v>
      </c>
      <c r="I258" s="811">
        <f>'M1 - LK'!$U$173</f>
        <v>25.6</v>
      </c>
      <c r="J258" s="811">
        <f>'M1 - LK'!$U$173</f>
        <v>25.6</v>
      </c>
      <c r="K258" s="811">
        <f>'M1 - LK'!$U$173</f>
        <v>25.6</v>
      </c>
      <c r="L258" s="811">
        <f>'M1 - LK'!$U$173</f>
        <v>25.6</v>
      </c>
      <c r="M258" s="811">
        <f>'M1 - LK'!$U$173</f>
        <v>25.6</v>
      </c>
      <c r="N258" s="811">
        <f>Loomakasvatus!J18</f>
        <v>0</v>
      </c>
      <c r="O258" s="811">
        <f>'M1 - LK'!$U$174</f>
        <v>21.2</v>
      </c>
      <c r="P258" s="811">
        <f>'M1 - LK'!$U$174</f>
        <v>21.2</v>
      </c>
      <c r="Q258" s="811">
        <f>'M1 - LK'!$U$175</f>
        <v>28.5</v>
      </c>
      <c r="R258" s="811">
        <f>'M1 - LK'!$U$175</f>
        <v>28.5</v>
      </c>
      <c r="BH258" s="20">
        <v>0</v>
      </c>
      <c r="BI258">
        <v>0</v>
      </c>
      <c r="BJ258">
        <v>0</v>
      </c>
      <c r="BK258">
        <f>IFERROR(VLOOKUP(BJ258,EFid!$A$432:$B$501,2,FALSE),0)</f>
        <v>0</v>
      </c>
      <c r="BL258">
        <f t="shared" si="184"/>
        <v>0</v>
      </c>
      <c r="BM258" s="21"/>
    </row>
    <row r="259" spans="2:65">
      <c r="B259" s="342" t="s">
        <v>748</v>
      </c>
      <c r="C259" s="343" t="s">
        <v>841</v>
      </c>
      <c r="D259" s="49"/>
      <c r="E259" s="817" t="e">
        <f>Loomakasvatus!#REF!</f>
        <v>#REF!</v>
      </c>
      <c r="F259" t="s">
        <v>135</v>
      </c>
      <c r="G259" s="811">
        <f>Loomakasvatus!C18</f>
        <v>0</v>
      </c>
      <c r="H259" s="811">
        <f>Loomakasvatus!D18</f>
        <v>0</v>
      </c>
      <c r="I259" s="811">
        <f>Loomakasvatus!E18</f>
        <v>0</v>
      </c>
      <c r="J259" s="811">
        <f>Loomakasvatus!F18</f>
        <v>0</v>
      </c>
      <c r="K259" s="811">
        <f>Loomakasvatus!G18</f>
        <v>0</v>
      </c>
      <c r="L259" s="811">
        <f>Loomakasvatus!H18</f>
        <v>0</v>
      </c>
      <c r="M259" s="811">
        <f>Loomakasvatus!I18</f>
        <v>0</v>
      </c>
      <c r="N259" s="811">
        <f>Loomakasvatus!J18</f>
        <v>0</v>
      </c>
      <c r="O259" s="811">
        <f>Loomakasvatus!K18</f>
        <v>0</v>
      </c>
      <c r="P259" s="811">
        <f>Loomakasvatus!L18</f>
        <v>0</v>
      </c>
      <c r="Q259" s="811">
        <f>Loomakasvatus!M18</f>
        <v>0</v>
      </c>
      <c r="R259" s="811">
        <f>Loomakasvatus!N18</f>
        <v>0</v>
      </c>
      <c r="BH259" s="20">
        <v>0</v>
      </c>
      <c r="BI259">
        <v>0</v>
      </c>
      <c r="BJ259">
        <v>0</v>
      </c>
      <c r="BK259">
        <f>IFERROR(VLOOKUP(BJ259,EFid!$A$432:$B$501,2,FALSE),0)</f>
        <v>0</v>
      </c>
      <c r="BL259">
        <f t="shared" si="184"/>
        <v>0</v>
      </c>
      <c r="BM259" s="21"/>
    </row>
    <row r="260" spans="2:65">
      <c r="B260" s="193" t="s">
        <v>842</v>
      </c>
      <c r="C260" s="178"/>
      <c r="D260" s="178"/>
      <c r="E260" s="194"/>
      <c r="BH260" s="20">
        <v>0</v>
      </c>
      <c r="BI260">
        <v>0</v>
      </c>
      <c r="BJ260">
        <v>0</v>
      </c>
      <c r="BK260">
        <f>IFERROR(VLOOKUP(BJ260,EFid!$A$432:$B$501,2,FALSE),0)</f>
        <v>0</v>
      </c>
      <c r="BL260">
        <f t="shared" si="184"/>
        <v>0</v>
      </c>
      <c r="BM260" s="21"/>
    </row>
    <row r="261" spans="2:65">
      <c r="B261" s="188" t="s">
        <v>843</v>
      </c>
      <c r="C261" s="189"/>
      <c r="D261" s="189"/>
      <c r="E261" s="190"/>
      <c r="BH261" s="20">
        <v>0</v>
      </c>
      <c r="BI261">
        <v>0</v>
      </c>
      <c r="BJ261">
        <v>0</v>
      </c>
      <c r="BK261">
        <f>IFERROR(VLOOKUP(BJ261,EFid!$A$432:$B$501,2,FALSE),0)</f>
        <v>0</v>
      </c>
      <c r="BL261">
        <f t="shared" si="184"/>
        <v>0</v>
      </c>
      <c r="BM261" s="21"/>
    </row>
    <row r="262" spans="2:65">
      <c r="B262" s="115" t="s">
        <v>844</v>
      </c>
      <c r="C262" s="31" t="s">
        <v>845</v>
      </c>
      <c r="E262" s="818" t="e">
        <f>E263*E264/1000</f>
        <v>#REF!</v>
      </c>
      <c r="F262" t="s">
        <v>135</v>
      </c>
      <c r="G262" s="42">
        <f>G263*G264/1000</f>
        <v>0</v>
      </c>
      <c r="H262" s="42">
        <f t="shared" ref="H262:R262" si="187">H263*H264/1000</f>
        <v>0</v>
      </c>
      <c r="I262" s="42">
        <f t="shared" si="187"/>
        <v>0</v>
      </c>
      <c r="J262" s="42">
        <f t="shared" si="187"/>
        <v>0</v>
      </c>
      <c r="K262" s="42">
        <f t="shared" si="187"/>
        <v>0</v>
      </c>
      <c r="L262" s="42">
        <f t="shared" si="187"/>
        <v>0</v>
      </c>
      <c r="M262" s="42">
        <f t="shared" si="187"/>
        <v>0</v>
      </c>
      <c r="N262" s="42">
        <f t="shared" si="187"/>
        <v>0</v>
      </c>
      <c r="O262" s="42">
        <f t="shared" si="187"/>
        <v>0</v>
      </c>
      <c r="P262" s="42">
        <f t="shared" si="187"/>
        <v>0</v>
      </c>
      <c r="Q262" s="42">
        <f t="shared" si="187"/>
        <v>0</v>
      </c>
      <c r="R262" s="42">
        <f t="shared" si="187"/>
        <v>0</v>
      </c>
      <c r="BH262" s="20">
        <v>0</v>
      </c>
      <c r="BI262">
        <v>0</v>
      </c>
      <c r="BJ262">
        <v>0</v>
      </c>
      <c r="BK262">
        <f>IFERROR(VLOOKUP(BJ262,EFid!$A$432:$B$501,2,FALSE),0)</f>
        <v>0</v>
      </c>
      <c r="BL262">
        <f t="shared" si="184"/>
        <v>0</v>
      </c>
      <c r="BM262" s="21"/>
    </row>
    <row r="263" spans="2:65">
      <c r="B263" s="344" t="s">
        <v>846</v>
      </c>
      <c r="C263" s="31" t="s">
        <v>847</v>
      </c>
      <c r="E263" s="818">
        <f>'M1 - LK'!V173</f>
        <v>29.6</v>
      </c>
      <c r="F263" t="s">
        <v>736</v>
      </c>
      <c r="G263" s="811">
        <f>'M1 - LK'!$V$173</f>
        <v>29.6</v>
      </c>
      <c r="H263" s="811">
        <f>'M1 - LK'!$V$173</f>
        <v>29.6</v>
      </c>
      <c r="I263" s="811">
        <f>'M1 - LK'!$V$173</f>
        <v>29.6</v>
      </c>
      <c r="J263" s="811">
        <f>'M1 - LK'!$V$173</f>
        <v>29.6</v>
      </c>
      <c r="K263" s="811">
        <f>'M1 - LK'!$V$173</f>
        <v>29.6</v>
      </c>
      <c r="L263" s="811">
        <f>'M1 - LK'!$V$173</f>
        <v>29.6</v>
      </c>
      <c r="M263" s="811">
        <f>'M1 - LK'!$V$173</f>
        <v>29.6</v>
      </c>
      <c r="N263" s="811"/>
      <c r="O263" s="811"/>
      <c r="P263" s="811"/>
      <c r="Q263" s="811"/>
      <c r="R263" s="811"/>
      <c r="BH263" s="20">
        <v>0</v>
      </c>
      <c r="BI263">
        <v>0</v>
      </c>
      <c r="BJ263">
        <v>0</v>
      </c>
      <c r="BK263">
        <f>IFERROR(VLOOKUP(BJ263,EFid!$A$432:$B$501,2,FALSE),0)</f>
        <v>0</v>
      </c>
      <c r="BL263">
        <f t="shared" si="184"/>
        <v>0</v>
      </c>
      <c r="BM263" s="21"/>
    </row>
    <row r="264" spans="2:65">
      <c r="B264" s="342" t="s">
        <v>848</v>
      </c>
      <c r="C264" s="343" t="s">
        <v>849</v>
      </c>
      <c r="D264" s="49"/>
      <c r="E264" s="819" t="e">
        <f>Loomakasvatus!#REF!</f>
        <v>#REF!</v>
      </c>
      <c r="F264" t="s">
        <v>135</v>
      </c>
      <c r="G264" s="62">
        <f>Loomakasvatus!C19</f>
        <v>0</v>
      </c>
      <c r="H264" s="62">
        <f>Loomakasvatus!D19</f>
        <v>0</v>
      </c>
      <c r="I264" s="62">
        <f>Loomakasvatus!E19</f>
        <v>0</v>
      </c>
      <c r="J264" s="62">
        <f>Loomakasvatus!F19</f>
        <v>0</v>
      </c>
      <c r="K264" s="62">
        <f>Loomakasvatus!G19</f>
        <v>0</v>
      </c>
      <c r="L264" s="62">
        <f>Loomakasvatus!H19</f>
        <v>0</v>
      </c>
      <c r="M264" s="62">
        <f>Loomakasvatus!I19</f>
        <v>0</v>
      </c>
      <c r="N264" s="62">
        <f>Loomakasvatus!J19</f>
        <v>0</v>
      </c>
      <c r="O264" s="62">
        <f>Loomakasvatus!K19</f>
        <v>0</v>
      </c>
      <c r="P264" s="62">
        <f>Loomakasvatus!L19</f>
        <v>0</v>
      </c>
      <c r="Q264" s="62">
        <f>Loomakasvatus!M19</f>
        <v>0</v>
      </c>
      <c r="R264" s="62">
        <f>Loomakasvatus!N19</f>
        <v>0</v>
      </c>
      <c r="BH264" s="20">
        <v>0</v>
      </c>
      <c r="BI264">
        <v>0</v>
      </c>
      <c r="BJ264">
        <v>0</v>
      </c>
      <c r="BK264">
        <f>IFERROR(VLOOKUP(BJ264,EFid!$A$432:$B$501,2,FALSE),0)</f>
        <v>0</v>
      </c>
      <c r="BL264">
        <f t="shared" si="184"/>
        <v>0</v>
      </c>
      <c r="BM264" s="21"/>
    </row>
    <row r="265" spans="2:65">
      <c r="B265" s="193" t="s">
        <v>850</v>
      </c>
      <c r="C265" s="178"/>
      <c r="D265" s="178"/>
      <c r="E265" s="194"/>
      <c r="BH265" s="80" t="s">
        <v>256</v>
      </c>
      <c r="BM265" s="445">
        <f>SUM(BL266:BL277)</f>
        <v>0</v>
      </c>
    </row>
    <row r="266" spans="2:65">
      <c r="B266" s="188" t="s">
        <v>851</v>
      </c>
      <c r="C266" s="189"/>
      <c r="D266" s="189"/>
      <c r="E266" s="190"/>
      <c r="G266" s="1"/>
      <c r="H266" s="1"/>
      <c r="I266" s="1"/>
      <c r="J266" s="1"/>
      <c r="K266" s="1"/>
      <c r="L266" s="1"/>
      <c r="BH266" s="20" cm="1">
        <f t="array" ref="BH266:BH277">Loomakasvatus!C619:C630</f>
        <v>0</v>
      </c>
      <c r="BI266" cm="1">
        <f t="array" ref="BI266:BI277">Loomakasvatus!D619:D630/1000</f>
        <v>0</v>
      </c>
      <c r="BJ266" cm="1">
        <f t="array" ref="BJ266:BJ277">Loomakasvatus!E619:E630</f>
        <v>0</v>
      </c>
      <c r="BK266">
        <f>IFERROR(VLOOKUP(BJ266,EFid!$A$432:$B$501,2,FALSE),0)</f>
        <v>0</v>
      </c>
      <c r="BL266">
        <f t="shared" si="184"/>
        <v>0</v>
      </c>
      <c r="BM266" s="21"/>
    </row>
    <row r="267" spans="2:65" ht="15" thickBot="1">
      <c r="B267" s="20" t="s">
        <v>742</v>
      </c>
      <c r="C267" t="s">
        <v>743</v>
      </c>
      <c r="E267" s="815" t="e">
        <f>E247-E252-E257-E262</f>
        <v>#REF!</v>
      </c>
      <c r="F267" t="s">
        <v>135</v>
      </c>
      <c r="G267" s="42">
        <f>G247-G252-G257-G262</f>
        <v>0</v>
      </c>
      <c r="H267" s="42">
        <f t="shared" ref="H267:R267" si="188">H247-H252-H257-H262</f>
        <v>0</v>
      </c>
      <c r="I267" s="42">
        <f t="shared" si="188"/>
        <v>0</v>
      </c>
      <c r="J267" s="42">
        <f t="shared" si="188"/>
        <v>0</v>
      </c>
      <c r="K267" s="42">
        <f t="shared" si="188"/>
        <v>0</v>
      </c>
      <c r="L267" s="42">
        <f t="shared" si="188"/>
        <v>0</v>
      </c>
      <c r="M267" s="42">
        <f t="shared" si="188"/>
        <v>0</v>
      </c>
      <c r="N267" s="42">
        <f t="shared" si="188"/>
        <v>0</v>
      </c>
      <c r="O267" s="42">
        <f t="shared" si="188"/>
        <v>0</v>
      </c>
      <c r="P267" s="42">
        <f t="shared" si="188"/>
        <v>0</v>
      </c>
      <c r="Q267" s="42">
        <f t="shared" si="188"/>
        <v>0</v>
      </c>
      <c r="R267" s="42">
        <f t="shared" si="188"/>
        <v>0</v>
      </c>
      <c r="BH267" s="20">
        <v>0</v>
      </c>
      <c r="BI267">
        <v>0</v>
      </c>
      <c r="BJ267">
        <v>0</v>
      </c>
      <c r="BK267">
        <f>IFERROR(VLOOKUP(BJ267,EFid!$A$432:$B$501,2,FALSE),0)</f>
        <v>0</v>
      </c>
      <c r="BL267">
        <f t="shared" si="184"/>
        <v>0</v>
      </c>
      <c r="BM267" s="21"/>
    </row>
    <row r="268" spans="2:65" ht="15" thickBot="1">
      <c r="B268" s="1341" t="s">
        <v>751</v>
      </c>
      <c r="C268" s="1341"/>
      <c r="D268" s="1341"/>
      <c r="E268" s="1341"/>
      <c r="BH268" s="20">
        <v>0</v>
      </c>
      <c r="BI268">
        <v>0</v>
      </c>
      <c r="BJ268">
        <v>0</v>
      </c>
      <c r="BK268">
        <f>IFERROR(VLOOKUP(BJ268,EFid!$A$432:$B$501,2,FALSE),0)</f>
        <v>0</v>
      </c>
      <c r="BL268">
        <f t="shared" si="184"/>
        <v>0</v>
      </c>
      <c r="BM268" s="21"/>
    </row>
    <row r="269" spans="2:65">
      <c r="B269" s="372" t="s">
        <v>754</v>
      </c>
      <c r="C269" s="373"/>
      <c r="D269" s="373"/>
      <c r="E269" s="374"/>
      <c r="BH269" s="20">
        <v>0</v>
      </c>
      <c r="BI269">
        <v>0</v>
      </c>
      <c r="BJ269">
        <v>0</v>
      </c>
      <c r="BK269">
        <f>IFERROR(VLOOKUP(BJ269,EFid!$A$432:$B$501,2,FALSE),0)</f>
        <v>0</v>
      </c>
      <c r="BL269">
        <f t="shared" si="184"/>
        <v>0</v>
      </c>
      <c r="BM269" s="21"/>
    </row>
    <row r="270" spans="2:65">
      <c r="B270" s="382" t="s">
        <v>742</v>
      </c>
      <c r="C270" s="383" t="s">
        <v>743</v>
      </c>
      <c r="D270" s="368"/>
      <c r="E270" s="376"/>
      <c r="F270" t="s">
        <v>135</v>
      </c>
      <c r="BH270" s="20">
        <v>0</v>
      </c>
      <c r="BI270">
        <v>0</v>
      </c>
      <c r="BJ270">
        <v>0</v>
      </c>
      <c r="BK270">
        <f>IFERROR(VLOOKUP(BJ270,EFid!$A$432:$B$501,2,FALSE),0)</f>
        <v>0</v>
      </c>
      <c r="BL270">
        <f t="shared" si="184"/>
        <v>0</v>
      </c>
      <c r="BM270" s="21"/>
    </row>
    <row r="271" spans="2:65">
      <c r="B271" s="382" t="s">
        <v>446</v>
      </c>
      <c r="C271" s="383" t="s">
        <v>755</v>
      </c>
      <c r="D271" s="368"/>
      <c r="E271" s="379"/>
      <c r="F271" t="s">
        <v>299</v>
      </c>
      <c r="BH271" s="20">
        <v>0</v>
      </c>
      <c r="BI271">
        <v>0</v>
      </c>
      <c r="BJ271">
        <v>0</v>
      </c>
      <c r="BK271">
        <f>IFERROR(VLOOKUP(BJ271,EFid!$A$432:$B$501,2,FALSE),0)</f>
        <v>0</v>
      </c>
      <c r="BL271">
        <f t="shared" si="184"/>
        <v>0</v>
      </c>
      <c r="BM271" s="21"/>
    </row>
    <row r="272" spans="2:65" ht="15" thickBot="1">
      <c r="B272" s="384" t="s">
        <v>756</v>
      </c>
      <c r="C272" s="385" t="s">
        <v>757</v>
      </c>
      <c r="D272" s="381"/>
      <c r="E272" s="376"/>
      <c r="F272" t="s">
        <v>758</v>
      </c>
      <c r="BH272" s="20">
        <v>0</v>
      </c>
      <c r="BI272">
        <v>0</v>
      </c>
      <c r="BJ272">
        <v>0</v>
      </c>
      <c r="BK272">
        <f>IFERROR(VLOOKUP(BJ272,EFid!$A$432:$B$501,2,FALSE),0)</f>
        <v>0</v>
      </c>
      <c r="BL272">
        <f t="shared" si="184"/>
        <v>0</v>
      </c>
      <c r="BM272" s="21"/>
    </row>
    <row r="273" spans="2:65" ht="15" thickBot="1">
      <c r="B273" s="1340" t="s">
        <v>759</v>
      </c>
      <c r="C273" s="1340"/>
      <c r="D273" s="1340"/>
      <c r="E273" s="1340"/>
      <c r="BH273" s="20">
        <v>0</v>
      </c>
      <c r="BI273">
        <v>0</v>
      </c>
      <c r="BJ273">
        <v>0</v>
      </c>
      <c r="BK273">
        <f>IFERROR(VLOOKUP(BJ273,EFid!$A$432:$B$501,2,FALSE),0)</f>
        <v>0</v>
      </c>
      <c r="BL273">
        <f t="shared" si="184"/>
        <v>0</v>
      </c>
      <c r="BM273" s="21"/>
    </row>
    <row r="274" spans="2:65">
      <c r="B274" s="188" t="s">
        <v>760</v>
      </c>
      <c r="C274" s="189"/>
      <c r="D274" s="189"/>
      <c r="E274" s="190"/>
      <c r="BH274" s="20">
        <v>0</v>
      </c>
      <c r="BI274">
        <v>0</v>
      </c>
      <c r="BJ274">
        <v>0</v>
      </c>
      <c r="BK274">
        <f>IFERROR(VLOOKUP(BJ274,EFid!$A$432:$B$501,2,FALSE),0)</f>
        <v>0</v>
      </c>
      <c r="BL274">
        <f t="shared" si="184"/>
        <v>0</v>
      </c>
      <c r="BM274" s="21"/>
    </row>
    <row r="275" spans="2:65">
      <c r="B275" s="188" t="s">
        <v>761</v>
      </c>
      <c r="C275" s="189"/>
      <c r="D275" s="189"/>
      <c r="E275" s="190"/>
      <c r="G275" s="1" t="str">
        <f>Loomakasvatus!C13</f>
        <v>Piimalehmad (5000 kg)</v>
      </c>
      <c r="H275" s="1" t="str">
        <f>Loomakasvatus!D13</f>
        <v>Piimalehmad (6000 kg)</v>
      </c>
      <c r="I275" s="1" t="str">
        <f>Loomakasvatus!E13</f>
        <v>Piimalehmad (7000 kg)</v>
      </c>
      <c r="J275" s="1" t="str">
        <f>Loomakasvatus!F13</f>
        <v>Piimalehmad (8000 kg)</v>
      </c>
      <c r="K275" s="1" t="str">
        <f>Loomakasvatus!G13</f>
        <v>Piimalehmad (9000 kg)</v>
      </c>
      <c r="L275" s="1" t="str">
        <f>Loomakasvatus!H13</f>
        <v>Piimalehmad (10000 kg)</v>
      </c>
      <c r="M275" s="1" t="str">
        <f>Loomakasvatus!I13</f>
        <v>Ammlehmad</v>
      </c>
      <c r="N275" s="1" t="str">
        <f>Loomakasvatus!J13</f>
        <v>Muud veised</v>
      </c>
      <c r="O275" s="1" t="str">
        <f>Loomakasvatus!K13</f>
        <v>Lehmvasikad</v>
      </c>
      <c r="P275" s="1" t="str">
        <f>Loomakasvatus!L13</f>
        <v>Pullvasikad</v>
      </c>
      <c r="Q275" s="1" t="str">
        <f>Loomakasvatus!M13</f>
        <v>Lehmmullikad</v>
      </c>
      <c r="R275" s="1" t="str">
        <f>Loomakasvatus!N13</f>
        <v>Pullmullikad</v>
      </c>
      <c r="BH275" s="20">
        <v>0</v>
      </c>
      <c r="BI275">
        <v>0</v>
      </c>
      <c r="BJ275">
        <v>0</v>
      </c>
      <c r="BK275">
        <f>IFERROR(VLOOKUP(BJ275,EFid!$A$432:$B$501,2,FALSE),0)</f>
        <v>0</v>
      </c>
      <c r="BL275">
        <f t="shared" si="184"/>
        <v>0</v>
      </c>
      <c r="BM275" s="21"/>
    </row>
    <row r="276" spans="2:65" ht="15" thickBot="1">
      <c r="B276" s="115" t="s">
        <v>762</v>
      </c>
      <c r="C276" s="31" t="s">
        <v>763</v>
      </c>
      <c r="D276" s="33"/>
      <c r="E276" s="821" t="e">
        <f>1-(E277/365*E278/24)</f>
        <v>#REF!</v>
      </c>
      <c r="G276" s="42">
        <f>1-(G277/365)*(G278/24)</f>
        <v>1</v>
      </c>
      <c r="H276" s="42">
        <f t="shared" ref="H276:R276" si="189">1-(H277/365)*(H278/24)</f>
        <v>1</v>
      </c>
      <c r="I276" s="42">
        <f t="shared" si="189"/>
        <v>1</v>
      </c>
      <c r="J276" s="42">
        <f t="shared" si="189"/>
        <v>1</v>
      </c>
      <c r="K276" s="42">
        <f t="shared" si="189"/>
        <v>1</v>
      </c>
      <c r="L276" s="42">
        <f t="shared" si="189"/>
        <v>1</v>
      </c>
      <c r="M276" s="42">
        <f t="shared" si="189"/>
        <v>1</v>
      </c>
      <c r="N276" s="42">
        <f t="shared" si="189"/>
        <v>1</v>
      </c>
      <c r="O276" s="42">
        <f t="shared" si="189"/>
        <v>1</v>
      </c>
      <c r="P276" s="42">
        <f t="shared" si="189"/>
        <v>1</v>
      </c>
      <c r="Q276" s="42">
        <f t="shared" si="189"/>
        <v>1</v>
      </c>
      <c r="R276" s="42">
        <f t="shared" si="189"/>
        <v>1</v>
      </c>
      <c r="BH276" s="58">
        <v>0</v>
      </c>
      <c r="BI276" s="36">
        <v>0</v>
      </c>
      <c r="BJ276" s="36">
        <v>0</v>
      </c>
      <c r="BK276" s="36">
        <f>IFERROR(VLOOKUP(BJ276,EFid!$A$432:$B$501,2,FALSE),0)</f>
        <v>0</v>
      </c>
      <c r="BL276" s="36">
        <f t="shared" si="184"/>
        <v>0</v>
      </c>
      <c r="BM276" s="37"/>
    </row>
    <row r="277" spans="2:65">
      <c r="B277" s="115" t="s">
        <v>764</v>
      </c>
      <c r="C277" s="31" t="s">
        <v>765</v>
      </c>
      <c r="D277" s="33"/>
      <c r="E277" s="816" t="e">
        <f>Loomakasvatus!#REF!</f>
        <v>#REF!</v>
      </c>
      <c r="G277" s="811">
        <f>Loomakasvatus!C22</f>
        <v>0</v>
      </c>
      <c r="H277" s="811">
        <f>Loomakasvatus!D22</f>
        <v>0</v>
      </c>
      <c r="I277" s="811">
        <f>Loomakasvatus!E22</f>
        <v>0</v>
      </c>
      <c r="J277" s="811">
        <f>Loomakasvatus!F22</f>
        <v>0</v>
      </c>
      <c r="K277" s="811">
        <f>Loomakasvatus!G22</f>
        <v>0</v>
      </c>
      <c r="L277" s="811">
        <f>Loomakasvatus!H22</f>
        <v>0</v>
      </c>
      <c r="M277" s="811">
        <f>Loomakasvatus!I22</f>
        <v>0</v>
      </c>
      <c r="N277" s="811">
        <f>Loomakasvatus!J22</f>
        <v>0</v>
      </c>
      <c r="O277" s="811">
        <f>Loomakasvatus!K22</f>
        <v>0</v>
      </c>
      <c r="P277" s="811">
        <f>Loomakasvatus!L22</f>
        <v>0</v>
      </c>
      <c r="Q277" s="811">
        <f>Loomakasvatus!M22</f>
        <v>0</v>
      </c>
      <c r="R277" s="811">
        <f>Loomakasvatus!N22</f>
        <v>0</v>
      </c>
      <c r="BH277" s="881" t="str">
        <v>Sööt, mille heitetegur on teada</v>
      </c>
      <c r="BI277" s="881" t="e">
        <v>#VALUE!</v>
      </c>
      <c r="BJ277" s="881" t="str">
        <v>Heitetegur (kg CO2-ekv/kg)</v>
      </c>
      <c r="BK277">
        <f>IFERROR(VLOOKUP(BJ277,EFid!$A$432:$B$501,2,FALSE),0)</f>
        <v>0</v>
      </c>
    </row>
    <row r="278" spans="2:65">
      <c r="B278" s="115" t="s">
        <v>766</v>
      </c>
      <c r="C278" s="31" t="s">
        <v>767</v>
      </c>
      <c r="D278" s="33"/>
      <c r="E278" s="816" t="e">
        <f>Loomakasvatus!#REF!</f>
        <v>#REF!</v>
      </c>
      <c r="G278" s="811">
        <f>Loomakasvatus!C23</f>
        <v>0</v>
      </c>
      <c r="H278" s="811">
        <f>Loomakasvatus!D23</f>
        <v>0</v>
      </c>
      <c r="I278" s="811">
        <f>Loomakasvatus!E23</f>
        <v>0</v>
      </c>
      <c r="J278" s="811">
        <f>Loomakasvatus!F23</f>
        <v>0</v>
      </c>
      <c r="K278" s="811">
        <f>Loomakasvatus!G23</f>
        <v>0</v>
      </c>
      <c r="L278" s="811">
        <f>Loomakasvatus!H23</f>
        <v>0</v>
      </c>
      <c r="M278" s="811">
        <f>Loomakasvatus!I23</f>
        <v>0</v>
      </c>
      <c r="N278" s="811">
        <f>Loomakasvatus!J23</f>
        <v>0</v>
      </c>
      <c r="O278" s="811">
        <f>Loomakasvatus!K23</f>
        <v>0</v>
      </c>
      <c r="P278" s="811">
        <f>Loomakasvatus!L23</f>
        <v>0</v>
      </c>
      <c r="Q278" s="811">
        <f>Loomakasvatus!M23</f>
        <v>0</v>
      </c>
      <c r="R278" s="811">
        <f>Loomakasvatus!N23</f>
        <v>0</v>
      </c>
    </row>
    <row r="279" spans="2:65">
      <c r="B279" s="188" t="s">
        <v>768</v>
      </c>
      <c r="C279" s="189"/>
      <c r="D279" s="189"/>
      <c r="E279" s="190"/>
    </row>
    <row r="280" spans="2:65">
      <c r="B280" s="188" t="s">
        <v>769</v>
      </c>
      <c r="C280" s="189"/>
      <c r="D280" s="189"/>
      <c r="E280" s="190"/>
      <c r="G280" s="1"/>
      <c r="H280" s="1"/>
      <c r="I280" s="1"/>
      <c r="J280" s="1"/>
      <c r="K280" s="1"/>
      <c r="L280" s="1"/>
    </row>
    <row r="281" spans="2:65">
      <c r="B281" s="20" t="s">
        <v>770</v>
      </c>
      <c r="C281" t="s">
        <v>771</v>
      </c>
      <c r="E281" s="815" t="e">
        <f>E282*E285/100*E286</f>
        <v>#REF!</v>
      </c>
      <c r="F281" t="s">
        <v>772</v>
      </c>
      <c r="G281" s="42">
        <f>G282*G283/100*G286</f>
        <v>0</v>
      </c>
      <c r="H281" s="42">
        <f t="shared" ref="H281:R281" si="190">H282*H283/100*H286</f>
        <v>0</v>
      </c>
      <c r="I281" s="42">
        <f t="shared" si="190"/>
        <v>0</v>
      </c>
      <c r="J281" s="42">
        <f t="shared" si="190"/>
        <v>0</v>
      </c>
      <c r="K281" s="42">
        <f t="shared" si="190"/>
        <v>0</v>
      </c>
      <c r="L281" s="42">
        <f t="shared" si="190"/>
        <v>0</v>
      </c>
      <c r="M281" s="42">
        <f t="shared" si="190"/>
        <v>0</v>
      </c>
      <c r="N281" s="42">
        <f t="shared" si="190"/>
        <v>0</v>
      </c>
      <c r="O281" s="42">
        <f>O282*O283/100*O286</f>
        <v>0</v>
      </c>
      <c r="P281" s="42">
        <f>P282*P283/100*P286</f>
        <v>0</v>
      </c>
      <c r="Q281" s="42">
        <f t="shared" si="190"/>
        <v>0</v>
      </c>
      <c r="R281" s="42">
        <f t="shared" si="190"/>
        <v>0</v>
      </c>
    </row>
    <row r="282" spans="2:65">
      <c r="B282" s="20" t="s">
        <v>742</v>
      </c>
      <c r="C282" t="s">
        <v>743</v>
      </c>
      <c r="E282" s="815">
        <f>E270</f>
        <v>0</v>
      </c>
      <c r="F282" t="s">
        <v>135</v>
      </c>
      <c r="G282" s="811">
        <f>G267</f>
        <v>0</v>
      </c>
      <c r="H282" s="811">
        <f t="shared" ref="H282:R282" si="191">H267</f>
        <v>0</v>
      </c>
      <c r="I282" s="811">
        <f t="shared" si="191"/>
        <v>0</v>
      </c>
      <c r="J282" s="811">
        <f t="shared" si="191"/>
        <v>0</v>
      </c>
      <c r="K282" s="811">
        <f t="shared" si="191"/>
        <v>0</v>
      </c>
      <c r="L282" s="811">
        <f t="shared" si="191"/>
        <v>0</v>
      </c>
      <c r="M282" s="811">
        <f t="shared" si="191"/>
        <v>0</v>
      </c>
      <c r="N282" s="811">
        <f t="shared" si="191"/>
        <v>0</v>
      </c>
      <c r="O282" s="811">
        <f t="shared" si="191"/>
        <v>0</v>
      </c>
      <c r="P282" s="811">
        <f t="shared" si="191"/>
        <v>0</v>
      </c>
      <c r="Q282" s="811">
        <f t="shared" si="191"/>
        <v>0</v>
      </c>
      <c r="R282" s="811">
        <f t="shared" si="191"/>
        <v>0</v>
      </c>
    </row>
    <row r="283" spans="2:65">
      <c r="B283" s="115" t="s">
        <v>852</v>
      </c>
      <c r="C283" s="31" t="s">
        <v>853</v>
      </c>
      <c r="E283" s="815" t="e">
        <f>VLOOKUP(Loomakasvatus!#REF!,'M1 - LK'!L223:N230,3,FALSE)</f>
        <v>#REF!</v>
      </c>
      <c r="F283" t="s">
        <v>34</v>
      </c>
      <c r="G283" s="811">
        <f>IFERROR(VLOOKUP(Loomakasvatus!C17,'M1 - LK'!$L$223:$N$230,3,FALSE),0)</f>
        <v>0</v>
      </c>
      <c r="H283" s="811">
        <f>IFERROR(VLOOKUP(Loomakasvatus!D17,'M1 - LK'!$L$223:$N$230,3,FALSE),0)</f>
        <v>0</v>
      </c>
      <c r="I283" s="811">
        <f>IFERROR(VLOOKUP(Loomakasvatus!E17,'M1 - LK'!$L$223:$N$230,3,FALSE),0)</f>
        <v>0</v>
      </c>
      <c r="J283" s="811">
        <f>IFERROR(VLOOKUP(Loomakasvatus!F17,'M1 - LK'!$L$223:$N$230,3,FALSE),0)</f>
        <v>0</v>
      </c>
      <c r="K283" s="811">
        <f>IFERROR(VLOOKUP(Loomakasvatus!G17,'M1 - LK'!$L$223:$N$230,3,FALSE),0)</f>
        <v>0</v>
      </c>
      <c r="L283" s="811">
        <f>IFERROR(VLOOKUP(Loomakasvatus!H17,'M1 - LK'!$L$223:$N$230,3,FALSE),0)</f>
        <v>0</v>
      </c>
      <c r="M283" s="811">
        <f>IFERROR(VLOOKUP(Loomakasvatus!I17,'M1 - LK'!$L$223:$N$230,3,FALSE),0)</f>
        <v>0</v>
      </c>
      <c r="N283" s="811">
        <f>IFERROR(VLOOKUP(Loomakasvatus!J17,'M1 - LK'!$L$223:$N$230,3,FALSE),0)</f>
        <v>0</v>
      </c>
      <c r="O283" s="811">
        <f>IFERROR(VLOOKUP(Loomakasvatus!K17,'M1 - LK'!$L$231:$N$232,3,FALSE),0)</f>
        <v>0</v>
      </c>
      <c r="P283" s="811">
        <f>IFERROR(VLOOKUP(Loomakasvatus!L17,'M1 - LK'!$L$231:$N$232,3,FALSE),0)</f>
        <v>0</v>
      </c>
      <c r="Q283" s="811">
        <f>IFERROR(VLOOKUP(Loomakasvatus!M17,'M1 - LK'!$L$223:$N$230,3,FALSE),0)</f>
        <v>0</v>
      </c>
      <c r="R283" s="811">
        <f>IFERROR(VLOOKUP(Loomakasvatus!N17,'M1 - LK'!$L$223:$N$230,3,FALSE),0)</f>
        <v>0</v>
      </c>
    </row>
    <row r="284" spans="2:65">
      <c r="B284" s="115" t="s">
        <v>854</v>
      </c>
      <c r="C284" s="31" t="s">
        <v>855</v>
      </c>
      <c r="E284" s="815" t="e">
        <f>VLOOKUP(Loomakasvatus!#REF!,'M1 - LK'!L223:N232,3,FALSE)</f>
        <v>#REF!</v>
      </c>
      <c r="F284" t="s">
        <v>34</v>
      </c>
    </row>
    <row r="285" spans="2:65">
      <c r="B285" s="115" t="s">
        <v>777</v>
      </c>
      <c r="C285" s="31"/>
      <c r="E285" s="815" t="e">
        <f>AVERAGE(E283:E284)</f>
        <v>#REF!</v>
      </c>
      <c r="F285" t="s">
        <v>34</v>
      </c>
    </row>
    <row r="286" spans="2:65">
      <c r="B286" s="344" t="s">
        <v>762</v>
      </c>
      <c r="C286" s="31" t="s">
        <v>763</v>
      </c>
      <c r="E286" s="815" t="e">
        <f>E276</f>
        <v>#REF!</v>
      </c>
      <c r="F286" t="s">
        <v>36</v>
      </c>
      <c r="G286" s="811">
        <f>G276</f>
        <v>1</v>
      </c>
      <c r="H286" s="811">
        <f t="shared" ref="H286:R286" si="192">H276</f>
        <v>1</v>
      </c>
      <c r="I286" s="811">
        <f t="shared" si="192"/>
        <v>1</v>
      </c>
      <c r="J286" s="811">
        <f t="shared" si="192"/>
        <v>1</v>
      </c>
      <c r="K286" s="811">
        <f t="shared" si="192"/>
        <v>1</v>
      </c>
      <c r="L286" s="811">
        <f t="shared" si="192"/>
        <v>1</v>
      </c>
      <c r="M286" s="811">
        <f t="shared" si="192"/>
        <v>1</v>
      </c>
      <c r="N286" s="811">
        <f t="shared" si="192"/>
        <v>1</v>
      </c>
      <c r="O286" s="811">
        <f t="shared" si="192"/>
        <v>1</v>
      </c>
      <c r="P286" s="811">
        <f t="shared" si="192"/>
        <v>1</v>
      </c>
      <c r="Q286" s="811">
        <f t="shared" si="192"/>
        <v>1</v>
      </c>
      <c r="R286" s="811">
        <f t="shared" si="192"/>
        <v>1</v>
      </c>
    </row>
    <row r="287" spans="2:65">
      <c r="B287" s="188" t="s">
        <v>778</v>
      </c>
      <c r="C287" s="189"/>
      <c r="D287" s="189"/>
      <c r="E287" s="190"/>
    </row>
    <row r="288" spans="2:65">
      <c r="B288" s="188" t="s">
        <v>779</v>
      </c>
      <c r="C288" s="189"/>
      <c r="D288" s="189"/>
      <c r="E288" s="190"/>
    </row>
    <row r="289" spans="2:18">
      <c r="B289" s="115" t="s">
        <v>780</v>
      </c>
      <c r="C289" s="31" t="s">
        <v>781</v>
      </c>
      <c r="E289" s="815">
        <f>SUM(G289:R289)</f>
        <v>0</v>
      </c>
      <c r="F289" t="s">
        <v>772</v>
      </c>
      <c r="G289" s="42">
        <f>G290*G291*G292</f>
        <v>0</v>
      </c>
      <c r="H289" s="42">
        <f t="shared" ref="H289:R289" si="193">H290*H291*H292</f>
        <v>0</v>
      </c>
      <c r="I289" s="42">
        <f t="shared" si="193"/>
        <v>0</v>
      </c>
      <c r="J289" s="42">
        <f t="shared" si="193"/>
        <v>0</v>
      </c>
      <c r="K289" s="42">
        <f t="shared" si="193"/>
        <v>0</v>
      </c>
      <c r="L289" s="42">
        <f t="shared" si="193"/>
        <v>0</v>
      </c>
      <c r="M289" s="42">
        <f t="shared" si="193"/>
        <v>0</v>
      </c>
      <c r="N289" s="42">
        <f t="shared" si="193"/>
        <v>0</v>
      </c>
      <c r="O289" s="42">
        <f t="shared" si="193"/>
        <v>0</v>
      </c>
      <c r="P289" s="42">
        <f t="shared" si="193"/>
        <v>0</v>
      </c>
      <c r="Q289" s="42">
        <f t="shared" si="193"/>
        <v>0</v>
      </c>
      <c r="R289" s="42">
        <f t="shared" si="193"/>
        <v>0</v>
      </c>
    </row>
    <row r="290" spans="2:18">
      <c r="B290" s="344" t="s">
        <v>446</v>
      </c>
      <c r="C290" s="31" t="s">
        <v>782</v>
      </c>
      <c r="E290" s="878">
        <f>SUM(G290:R290)</f>
        <v>0</v>
      </c>
      <c r="F290" t="s">
        <v>299</v>
      </c>
      <c r="G290" s="811">
        <f>Loomakasvatus!C14</f>
        <v>0</v>
      </c>
      <c r="H290" s="811">
        <f>Loomakasvatus!D14</f>
        <v>0</v>
      </c>
      <c r="I290" s="811">
        <f>Loomakasvatus!E14</f>
        <v>0</v>
      </c>
      <c r="J290" s="811">
        <f>Loomakasvatus!F14</f>
        <v>0</v>
      </c>
      <c r="K290" s="811">
        <f>Loomakasvatus!G14</f>
        <v>0</v>
      </c>
      <c r="L290" s="811">
        <f>Loomakasvatus!H14</f>
        <v>0</v>
      </c>
      <c r="M290" s="811">
        <f>Loomakasvatus!I14</f>
        <v>0</v>
      </c>
      <c r="N290" s="811">
        <f>Loomakasvatus!J14</f>
        <v>0</v>
      </c>
      <c r="O290" s="811">
        <f>Loomakasvatus!K14</f>
        <v>0</v>
      </c>
      <c r="P290" s="811">
        <f>Loomakasvatus!L14</f>
        <v>0</v>
      </c>
      <c r="Q290" s="811">
        <f>Loomakasvatus!M14</f>
        <v>0</v>
      </c>
      <c r="R290" s="811">
        <f>Loomakasvatus!N14</f>
        <v>0</v>
      </c>
    </row>
    <row r="291" spans="2:18">
      <c r="B291" s="344" t="s">
        <v>783</v>
      </c>
      <c r="C291" s="31" t="s">
        <v>784</v>
      </c>
      <c r="E291" s="815" t="e">
        <f>(Loomakasvatus!#REF!*'M1 - LK'!L238)+(Loomakasvatus!#REF!*'M1 - LK'!L239)</f>
        <v>#REF!</v>
      </c>
      <c r="F291" t="s">
        <v>758</v>
      </c>
      <c r="G291" s="822">
        <f>'M1 - LK'!$L$238</f>
        <v>128</v>
      </c>
      <c r="H291" s="822">
        <f>'M1 - LK'!$L$238</f>
        <v>128</v>
      </c>
      <c r="I291" s="822">
        <f>'M1 - LK'!$L$238</f>
        <v>128</v>
      </c>
      <c r="J291" s="822">
        <f>'M1 - LK'!$L$238</f>
        <v>128</v>
      </c>
      <c r="K291" s="822">
        <f>'M1 - LK'!$L$238</f>
        <v>128</v>
      </c>
      <c r="L291" s="822">
        <f>'M1 - LK'!$L$238</f>
        <v>128</v>
      </c>
      <c r="M291" s="822">
        <f>'M1 - LK'!$L$239</f>
        <v>53</v>
      </c>
      <c r="N291" s="822">
        <f>'M1 - LK'!$L$239</f>
        <v>53</v>
      </c>
      <c r="O291" s="822">
        <f>'M1 - LK'!$L$239</f>
        <v>53</v>
      </c>
      <c r="P291" s="822">
        <f>'M1 - LK'!$L$239</f>
        <v>53</v>
      </c>
      <c r="Q291" s="822">
        <f>'M1 - LK'!$L$239</f>
        <v>53</v>
      </c>
      <c r="R291" s="822">
        <f>'M1 - LK'!$L$239</f>
        <v>53</v>
      </c>
    </row>
    <row r="292" spans="2:18" ht="15" thickBot="1">
      <c r="B292" s="339" t="s">
        <v>762</v>
      </c>
      <c r="C292" s="345" t="s">
        <v>763</v>
      </c>
      <c r="D292" s="36"/>
      <c r="E292" s="820">
        <f>E275</f>
        <v>0</v>
      </c>
      <c r="G292" s="811">
        <v>1</v>
      </c>
      <c r="H292" s="811">
        <v>1</v>
      </c>
      <c r="I292" s="811">
        <v>1</v>
      </c>
      <c r="J292" s="811">
        <v>1</v>
      </c>
      <c r="K292" s="811">
        <v>1</v>
      </c>
      <c r="L292" s="811">
        <v>1</v>
      </c>
      <c r="M292" s="811">
        <v>1</v>
      </c>
      <c r="N292" s="811">
        <v>1</v>
      </c>
      <c r="O292" s="811">
        <v>1</v>
      </c>
      <c r="P292" s="811">
        <v>1</v>
      </c>
      <c r="Q292" s="811">
        <v>1</v>
      </c>
      <c r="R292" s="811">
        <v>1</v>
      </c>
    </row>
    <row r="293" spans="2:18" ht="15" thickBot="1">
      <c r="B293" s="1340" t="s">
        <v>786</v>
      </c>
      <c r="C293" s="1340"/>
      <c r="D293" s="1340"/>
      <c r="E293" s="1340"/>
    </row>
    <row r="294" spans="2:18">
      <c r="B294" s="199" t="s">
        <v>787</v>
      </c>
      <c r="C294" s="191"/>
      <c r="D294" s="191"/>
      <c r="E294" s="192"/>
    </row>
    <row r="295" spans="2:18">
      <c r="B295" s="188" t="s">
        <v>788</v>
      </c>
      <c r="C295" s="189"/>
      <c r="D295" s="189"/>
      <c r="E295" s="190"/>
    </row>
    <row r="296" spans="2:18">
      <c r="B296" s="115" t="s">
        <v>789</v>
      </c>
      <c r="C296" s="31" t="s">
        <v>790</v>
      </c>
      <c r="E296" s="821" t="e">
        <f>(E297*E298-E299/1.214)*E300/100</f>
        <v>#REF!</v>
      </c>
      <c r="F296" t="s">
        <v>772</v>
      </c>
      <c r="G296" s="42">
        <f>(G297*G298-G299/1.214)*G300/100</f>
        <v>0</v>
      </c>
      <c r="H296" s="42">
        <f t="shared" ref="H296:R296" si="194">(H297*H298-H299/1.214)*H300/100</f>
        <v>0</v>
      </c>
      <c r="I296" s="42">
        <f t="shared" si="194"/>
        <v>0</v>
      </c>
      <c r="J296" s="42">
        <f t="shared" si="194"/>
        <v>0</v>
      </c>
      <c r="K296" s="42">
        <f t="shared" si="194"/>
        <v>0</v>
      </c>
      <c r="L296" s="42">
        <f t="shared" si="194"/>
        <v>0</v>
      </c>
      <c r="M296" s="42">
        <f t="shared" si="194"/>
        <v>0</v>
      </c>
      <c r="N296" s="42">
        <f t="shared" si="194"/>
        <v>0</v>
      </c>
      <c r="O296" s="42">
        <f t="shared" si="194"/>
        <v>0</v>
      </c>
      <c r="P296" s="42">
        <f t="shared" si="194"/>
        <v>0</v>
      </c>
      <c r="Q296" s="42">
        <f t="shared" si="194"/>
        <v>0</v>
      </c>
      <c r="R296" s="42">
        <f t="shared" si="194"/>
        <v>0</v>
      </c>
    </row>
    <row r="297" spans="2:18">
      <c r="B297" s="115" t="s">
        <v>742</v>
      </c>
      <c r="C297" s="31" t="s">
        <v>743</v>
      </c>
      <c r="E297" s="821" t="e">
        <f>E267</f>
        <v>#REF!</v>
      </c>
      <c r="F297" t="s">
        <v>135</v>
      </c>
      <c r="G297" s="811">
        <f>G267</f>
        <v>0</v>
      </c>
      <c r="H297" s="811">
        <f t="shared" ref="H297:R297" si="195">H267</f>
        <v>0</v>
      </c>
      <c r="I297" s="811">
        <f t="shared" si="195"/>
        <v>0</v>
      </c>
      <c r="J297" s="811">
        <f t="shared" si="195"/>
        <v>0</v>
      </c>
      <c r="K297" s="811">
        <f t="shared" si="195"/>
        <v>0</v>
      </c>
      <c r="L297" s="811">
        <f t="shared" si="195"/>
        <v>0</v>
      </c>
      <c r="M297" s="811">
        <f t="shared" si="195"/>
        <v>0</v>
      </c>
      <c r="N297" s="811">
        <f t="shared" si="195"/>
        <v>0</v>
      </c>
      <c r="O297" s="811">
        <f t="shared" si="195"/>
        <v>0</v>
      </c>
      <c r="P297" s="811">
        <f t="shared" si="195"/>
        <v>0</v>
      </c>
      <c r="Q297" s="811">
        <f t="shared" si="195"/>
        <v>0</v>
      </c>
      <c r="R297" s="811">
        <f t="shared" si="195"/>
        <v>0</v>
      </c>
    </row>
    <row r="298" spans="2:18">
      <c r="B298" s="344" t="s">
        <v>762</v>
      </c>
      <c r="C298" s="31" t="s">
        <v>763</v>
      </c>
      <c r="E298" s="821" t="e">
        <f>E276</f>
        <v>#REF!</v>
      </c>
      <c r="G298" s="811">
        <f>G276</f>
        <v>1</v>
      </c>
      <c r="H298" s="811">
        <f t="shared" ref="H298:R298" si="196">H276</f>
        <v>1</v>
      </c>
      <c r="I298" s="811">
        <f t="shared" si="196"/>
        <v>1</v>
      </c>
      <c r="J298" s="811">
        <f t="shared" si="196"/>
        <v>1</v>
      </c>
      <c r="K298" s="811">
        <f t="shared" si="196"/>
        <v>1</v>
      </c>
      <c r="L298" s="811">
        <f t="shared" si="196"/>
        <v>1</v>
      </c>
      <c r="M298" s="811">
        <f t="shared" si="196"/>
        <v>1</v>
      </c>
      <c r="N298" s="811">
        <f t="shared" si="196"/>
        <v>1</v>
      </c>
      <c r="O298" s="811">
        <f t="shared" si="196"/>
        <v>1</v>
      </c>
      <c r="P298" s="811">
        <f t="shared" si="196"/>
        <v>1</v>
      </c>
      <c r="Q298" s="811">
        <f t="shared" si="196"/>
        <v>1</v>
      </c>
      <c r="R298" s="811">
        <f t="shared" si="196"/>
        <v>1</v>
      </c>
    </row>
    <row r="299" spans="2:18">
      <c r="B299" s="344" t="s">
        <v>770</v>
      </c>
      <c r="C299" s="31" t="s">
        <v>771</v>
      </c>
      <c r="E299" s="821" t="e">
        <f>E281</f>
        <v>#REF!</v>
      </c>
      <c r="F299" t="s">
        <v>772</v>
      </c>
      <c r="G299" s="811">
        <f>G281</f>
        <v>0</v>
      </c>
      <c r="H299" s="811">
        <f t="shared" ref="H299:R299" si="197">H281</f>
        <v>0</v>
      </c>
      <c r="I299" s="811">
        <f t="shared" si="197"/>
        <v>0</v>
      </c>
      <c r="J299" s="811">
        <f t="shared" si="197"/>
        <v>0</v>
      </c>
      <c r="K299" s="811">
        <f t="shared" si="197"/>
        <v>0</v>
      </c>
      <c r="L299" s="811">
        <f t="shared" si="197"/>
        <v>0</v>
      </c>
      <c r="M299" s="811">
        <f t="shared" si="197"/>
        <v>0</v>
      </c>
      <c r="N299" s="811">
        <f t="shared" si="197"/>
        <v>0</v>
      </c>
      <c r="O299" s="811">
        <f t="shared" si="197"/>
        <v>0</v>
      </c>
      <c r="P299" s="811">
        <f t="shared" si="197"/>
        <v>0</v>
      </c>
      <c r="Q299" s="811">
        <f t="shared" si="197"/>
        <v>0</v>
      </c>
      <c r="R299" s="811">
        <f t="shared" si="197"/>
        <v>0</v>
      </c>
    </row>
    <row r="300" spans="2:18">
      <c r="B300" s="344" t="s">
        <v>792</v>
      </c>
      <c r="C300" s="31" t="s">
        <v>793</v>
      </c>
      <c r="E300" s="821" t="e">
        <f>VLOOKUP(Loomakasvatus!#REF!,'M1 - LK'!K251:L257,2,FALSE)</f>
        <v>#REF!</v>
      </c>
      <c r="F300" t="s">
        <v>34</v>
      </c>
      <c r="G300" s="811">
        <f>IFERROR(VLOOKUP(Loomakasvatus!C16,'M1 - LK'!$K$251:$L$257,2,FALSE),0)</f>
        <v>0</v>
      </c>
      <c r="H300" s="811">
        <f>IFERROR(VLOOKUP(Loomakasvatus!D16,'M1 - LK'!$K$251:$L$257,2,FALSE),0)</f>
        <v>0</v>
      </c>
      <c r="I300" s="811">
        <f>IFERROR(VLOOKUP(Loomakasvatus!E16,'M1 - LK'!$K$251:$L$257,2,FALSE),0)</f>
        <v>0</v>
      </c>
      <c r="J300" s="811">
        <f>IFERROR(VLOOKUP(Loomakasvatus!F16,'M1 - LK'!$K$251:$L$257,2,FALSE),0)</f>
        <v>0</v>
      </c>
      <c r="K300" s="811">
        <f>IFERROR(VLOOKUP(Loomakasvatus!G16,'M1 - LK'!$K$251:$L$257,2,FALSE),0)</f>
        <v>0</v>
      </c>
      <c r="L300" s="811">
        <f>IFERROR(VLOOKUP(Loomakasvatus!H16,'M1 - LK'!$K$251:$L$257,2,FALSE),0)</f>
        <v>0</v>
      </c>
      <c r="M300" s="811">
        <f>IFERROR(VLOOKUP(Loomakasvatus!I16,'M1 - LK'!$K$251:$L$257,2,FALSE),0)</f>
        <v>0</v>
      </c>
      <c r="N300" s="811">
        <f>IFERROR(VLOOKUP(Loomakasvatus!J16,'M1 - LK'!$K$251:$L$257,2,FALSE),0)</f>
        <v>0</v>
      </c>
      <c r="O300" s="811">
        <f>IFERROR(VLOOKUP(Loomakasvatus!K16,'M1 - LK'!$K$251:$L$257,2,FALSE),0)</f>
        <v>0</v>
      </c>
      <c r="P300" s="811">
        <f>IFERROR(VLOOKUP(Loomakasvatus!L16,'M1 - LK'!$K$251:$L$257,2,FALSE),0)</f>
        <v>0</v>
      </c>
      <c r="Q300" s="811">
        <f>IFERROR(VLOOKUP(Loomakasvatus!M16,'M1 - LK'!$K$251:$L$257,2,FALSE),0)</f>
        <v>0</v>
      </c>
      <c r="R300" s="811">
        <f>IFERROR(VLOOKUP(Loomakasvatus!N16,'M1 - LK'!$K$251:$L$257,2,FALSE),0)</f>
        <v>0</v>
      </c>
    </row>
    <row r="301" spans="2:18">
      <c r="B301" s="193" t="s">
        <v>794</v>
      </c>
      <c r="C301" s="178"/>
      <c r="D301" s="178"/>
      <c r="E301" s="194"/>
    </row>
    <row r="302" spans="2:18">
      <c r="B302" s="188" t="s">
        <v>795</v>
      </c>
      <c r="C302" s="189"/>
      <c r="D302" s="189"/>
      <c r="E302" s="190"/>
    </row>
    <row r="303" spans="2:18">
      <c r="B303" s="115" t="s">
        <v>798</v>
      </c>
      <c r="C303" s="31" t="s">
        <v>799</v>
      </c>
      <c r="E303" s="42">
        <f>SUM(G303:R303)</f>
        <v>0</v>
      </c>
      <c r="F303" t="s">
        <v>772</v>
      </c>
      <c r="G303" s="42">
        <f>G304*G305*G306</f>
        <v>0</v>
      </c>
      <c r="H303" s="42">
        <f t="shared" ref="H303:R303" si="198">H304*H305*H306</f>
        <v>0</v>
      </c>
      <c r="I303" s="42">
        <f t="shared" si="198"/>
        <v>0</v>
      </c>
      <c r="J303" s="42">
        <f t="shared" si="198"/>
        <v>0</v>
      </c>
      <c r="K303" s="42">
        <f t="shared" si="198"/>
        <v>0</v>
      </c>
      <c r="L303" s="42">
        <f t="shared" si="198"/>
        <v>0</v>
      </c>
      <c r="M303" s="42">
        <f t="shared" si="198"/>
        <v>0</v>
      </c>
      <c r="N303" s="42">
        <f t="shared" si="198"/>
        <v>0</v>
      </c>
      <c r="O303" s="42">
        <f t="shared" si="198"/>
        <v>0</v>
      </c>
      <c r="P303" s="42">
        <f t="shared" si="198"/>
        <v>0</v>
      </c>
      <c r="Q303" s="42">
        <f t="shared" si="198"/>
        <v>0</v>
      </c>
      <c r="R303" s="42">
        <f t="shared" si="198"/>
        <v>0</v>
      </c>
    </row>
    <row r="304" spans="2:18">
      <c r="B304" s="344" t="s">
        <v>446</v>
      </c>
      <c r="C304" s="31" t="s">
        <v>800</v>
      </c>
      <c r="E304" s="821">
        <f>E290</f>
        <v>0</v>
      </c>
      <c r="F304" t="s">
        <v>299</v>
      </c>
      <c r="G304" s="811">
        <f>Loomakasvatus!C14</f>
        <v>0</v>
      </c>
      <c r="H304" s="811">
        <f>Loomakasvatus!D14</f>
        <v>0</v>
      </c>
      <c r="I304" s="811">
        <f>Loomakasvatus!E14</f>
        <v>0</v>
      </c>
      <c r="J304" s="811">
        <f>Loomakasvatus!F14</f>
        <v>0</v>
      </c>
      <c r="K304" s="811">
        <f>Loomakasvatus!G14</f>
        <v>0</v>
      </c>
      <c r="L304" s="811">
        <f>Loomakasvatus!H14</f>
        <v>0</v>
      </c>
      <c r="M304" s="811">
        <f>Loomakasvatus!I14</f>
        <v>0</v>
      </c>
      <c r="N304" s="811">
        <f>Loomakasvatus!J14</f>
        <v>0</v>
      </c>
      <c r="O304" s="811">
        <f>Loomakasvatus!K14</f>
        <v>0</v>
      </c>
      <c r="P304" s="811">
        <f>Loomakasvatus!L14</f>
        <v>0</v>
      </c>
      <c r="Q304" s="811">
        <f>Loomakasvatus!M14</f>
        <v>0</v>
      </c>
      <c r="R304" s="811">
        <f>Loomakasvatus!N14</f>
        <v>0</v>
      </c>
    </row>
    <row r="305" spans="2:18">
      <c r="B305" s="344" t="s">
        <v>801</v>
      </c>
      <c r="C305" s="31" t="s">
        <v>784</v>
      </c>
      <c r="E305" s="821" t="e">
        <f>VLOOKUP(Loomakasvatus!#REF!,'M1 - LK'!L261:M262,2,FALSE)+VLOOKUP(Loomakasvatus!#REF!,'M1 - LK'!L264:M265,2,FALSE)</f>
        <v>#REF!</v>
      </c>
      <c r="F305" t="s">
        <v>758</v>
      </c>
      <c r="G305" s="822">
        <f>IFERROR(VLOOKUP(Loomakasvatus!C15,'M1 - LK'!$L$261:$M$263,2,FALSE),0)</f>
        <v>0</v>
      </c>
      <c r="H305" s="822">
        <f>IFERROR(VLOOKUP(Loomakasvatus!D15,'M1 - LK'!$L$261:$M$263,2,FALSE),0)</f>
        <v>0</v>
      </c>
      <c r="I305" s="822">
        <f>IFERROR(VLOOKUP(Loomakasvatus!E15,'M1 - LK'!$L$261:$M$263,2,FALSE),0)</f>
        <v>0</v>
      </c>
      <c r="J305" s="822">
        <f>IFERROR(VLOOKUP(Loomakasvatus!F15,'M1 - LK'!$L$261:$M$263,2,FALSE),0)</f>
        <v>0</v>
      </c>
      <c r="K305" s="822">
        <f>IFERROR(VLOOKUP(Loomakasvatus!G15,'M1 - LK'!$L$261:$M$263,2,FALSE),0)</f>
        <v>0</v>
      </c>
      <c r="L305" s="822">
        <f>IFERROR(VLOOKUP(Loomakasvatus!H15,'M1 - LK'!$L$261:$M$263,2,FALSE),0)</f>
        <v>0</v>
      </c>
      <c r="M305" s="822">
        <f>IFERROR(VLOOKUP(Loomakasvatus!I15,'M1 - LK'!$L$264:$M$266,2,FALSE),0)</f>
        <v>0</v>
      </c>
      <c r="N305" s="822">
        <f>IFERROR(VLOOKUP(Loomakasvatus!J15,'M1 - LK'!$L$264:$M$266,2,FALSE),0)</f>
        <v>0</v>
      </c>
      <c r="O305" s="822">
        <f>IFERROR(VLOOKUP(Loomakasvatus!K15,'M1 - LK'!$L$264:$M$266,2,FALSE),0)</f>
        <v>0</v>
      </c>
      <c r="P305" s="822">
        <f>IFERROR(VLOOKUP(Loomakasvatus!L15,'M1 - LK'!$L$264:$M$266,2,FALSE),0)</f>
        <v>0</v>
      </c>
      <c r="Q305" s="822">
        <f>IFERROR(VLOOKUP(Loomakasvatus!M15,'M1 - LK'!$L$264:$M$266,2,FALSE),0)</f>
        <v>0</v>
      </c>
      <c r="R305" s="822">
        <f>IFERROR(VLOOKUP(Loomakasvatus!N15,'M1 - LK'!$L$264:$M$266,2,FALSE),0)</f>
        <v>0</v>
      </c>
    </row>
    <row r="306" spans="2:18">
      <c r="B306" s="347" t="s">
        <v>762</v>
      </c>
      <c r="C306" s="343" t="s">
        <v>763</v>
      </c>
      <c r="D306" s="8"/>
      <c r="E306" s="821" t="e">
        <f>E298</f>
        <v>#REF!</v>
      </c>
      <c r="G306" s="811">
        <f>G276</f>
        <v>1</v>
      </c>
      <c r="H306" s="811">
        <f t="shared" ref="H306:R306" si="199">H276</f>
        <v>1</v>
      </c>
      <c r="I306" s="811">
        <f t="shared" si="199"/>
        <v>1</v>
      </c>
      <c r="J306" s="811">
        <f t="shared" si="199"/>
        <v>1</v>
      </c>
      <c r="K306" s="811">
        <f t="shared" si="199"/>
        <v>1</v>
      </c>
      <c r="L306" s="811">
        <f t="shared" si="199"/>
        <v>1</v>
      </c>
      <c r="M306" s="811">
        <f t="shared" si="199"/>
        <v>1</v>
      </c>
      <c r="N306" s="811">
        <f t="shared" si="199"/>
        <v>1</v>
      </c>
      <c r="O306" s="811">
        <f t="shared" si="199"/>
        <v>1</v>
      </c>
      <c r="P306" s="811">
        <f t="shared" si="199"/>
        <v>1</v>
      </c>
      <c r="Q306" s="811">
        <f t="shared" si="199"/>
        <v>1</v>
      </c>
      <c r="R306" s="811">
        <f t="shared" si="199"/>
        <v>1</v>
      </c>
    </row>
    <row r="307" spans="2:18">
      <c r="B307" s="193" t="s">
        <v>802</v>
      </c>
      <c r="C307" s="178"/>
      <c r="D307" s="178"/>
      <c r="E307" s="194"/>
    </row>
    <row r="308" spans="2:18">
      <c r="B308" s="188" t="s">
        <v>803</v>
      </c>
      <c r="C308" s="189"/>
      <c r="D308" s="189"/>
      <c r="E308" s="190"/>
    </row>
    <row r="309" spans="2:18">
      <c r="B309" s="20" t="s">
        <v>804</v>
      </c>
      <c r="C309" t="s">
        <v>805</v>
      </c>
      <c r="E309" s="42">
        <f>SUM(G309:R309)</f>
        <v>0</v>
      </c>
      <c r="F309" t="s">
        <v>772</v>
      </c>
      <c r="G309" s="42">
        <f>G310*G311*G312/100</f>
        <v>0</v>
      </c>
      <c r="H309" s="42">
        <f t="shared" ref="H309:R309" si="200">H310*H311*H312/100</f>
        <v>0</v>
      </c>
      <c r="I309" s="42">
        <f t="shared" si="200"/>
        <v>0</v>
      </c>
      <c r="J309" s="42">
        <f t="shared" si="200"/>
        <v>0</v>
      </c>
      <c r="K309" s="42">
        <f t="shared" si="200"/>
        <v>0</v>
      </c>
      <c r="L309" s="42">
        <f t="shared" si="200"/>
        <v>0</v>
      </c>
      <c r="M309" s="42">
        <f t="shared" si="200"/>
        <v>0</v>
      </c>
      <c r="N309" s="42">
        <f t="shared" si="200"/>
        <v>0</v>
      </c>
      <c r="O309" s="42">
        <f t="shared" si="200"/>
        <v>0</v>
      </c>
      <c r="P309" s="42">
        <f t="shared" si="200"/>
        <v>0</v>
      </c>
      <c r="Q309" s="42">
        <f t="shared" si="200"/>
        <v>0</v>
      </c>
      <c r="R309" s="42">
        <f t="shared" si="200"/>
        <v>0</v>
      </c>
    </row>
    <row r="310" spans="2:18">
      <c r="B310" s="115" t="s">
        <v>742</v>
      </c>
      <c r="C310" s="31" t="s">
        <v>743</v>
      </c>
      <c r="E310" s="821" t="e">
        <f>E267</f>
        <v>#REF!</v>
      </c>
      <c r="F310" t="s">
        <v>135</v>
      </c>
      <c r="G310" s="811">
        <f>G267</f>
        <v>0</v>
      </c>
      <c r="H310" s="811">
        <f t="shared" ref="H310:R310" si="201">H267</f>
        <v>0</v>
      </c>
      <c r="I310" s="811">
        <f t="shared" si="201"/>
        <v>0</v>
      </c>
      <c r="J310" s="811">
        <f t="shared" si="201"/>
        <v>0</v>
      </c>
      <c r="K310" s="811">
        <f t="shared" si="201"/>
        <v>0</v>
      </c>
      <c r="L310" s="811">
        <f t="shared" si="201"/>
        <v>0</v>
      </c>
      <c r="M310" s="811">
        <f t="shared" si="201"/>
        <v>0</v>
      </c>
      <c r="N310" s="811">
        <f t="shared" si="201"/>
        <v>0</v>
      </c>
      <c r="O310" s="811">
        <f t="shared" si="201"/>
        <v>0</v>
      </c>
      <c r="P310" s="811">
        <f t="shared" si="201"/>
        <v>0</v>
      </c>
      <c r="Q310" s="811">
        <f t="shared" si="201"/>
        <v>0</v>
      </c>
      <c r="R310" s="811">
        <f t="shared" si="201"/>
        <v>0</v>
      </c>
    </row>
    <row r="311" spans="2:18">
      <c r="B311" s="344" t="s">
        <v>762</v>
      </c>
      <c r="C311" s="31" t="s">
        <v>763</v>
      </c>
      <c r="E311" s="821" t="e">
        <f>E306</f>
        <v>#REF!</v>
      </c>
      <c r="G311" s="811">
        <f>G276</f>
        <v>1</v>
      </c>
      <c r="H311" s="811">
        <f t="shared" ref="H311:R311" si="202">H276</f>
        <v>1</v>
      </c>
      <c r="I311" s="811">
        <f t="shared" si="202"/>
        <v>1</v>
      </c>
      <c r="J311" s="811">
        <f t="shared" si="202"/>
        <v>1</v>
      </c>
      <c r="K311" s="811">
        <f t="shared" si="202"/>
        <v>1</v>
      </c>
      <c r="L311" s="811">
        <f t="shared" si="202"/>
        <v>1</v>
      </c>
      <c r="M311" s="811">
        <f t="shared" si="202"/>
        <v>1</v>
      </c>
      <c r="N311" s="811">
        <f t="shared" si="202"/>
        <v>1</v>
      </c>
      <c r="O311" s="811">
        <f t="shared" si="202"/>
        <v>1</v>
      </c>
      <c r="P311" s="811">
        <f t="shared" si="202"/>
        <v>1</v>
      </c>
      <c r="Q311" s="811">
        <f t="shared" si="202"/>
        <v>1</v>
      </c>
      <c r="R311" s="811">
        <f t="shared" si="202"/>
        <v>1</v>
      </c>
    </row>
    <row r="312" spans="2:18">
      <c r="B312" s="346" t="s">
        <v>792</v>
      </c>
      <c r="C312" s="345" t="s">
        <v>809</v>
      </c>
      <c r="D312" s="36"/>
      <c r="E312" s="823" t="e">
        <f>(VLOOKUP(Loomakasvatus!#REF!,'M1 - LK'!K275:L276,2,FALSE))+VLOOKUP(Loomakasvatus!#REF!,'M1 - LK'!K275:L276,2,FALSE)+VLOOKUP(Loomakasvatus!#REF!,'M1 - LK'!K275:L276,2,FALSE)</f>
        <v>#REF!</v>
      </c>
      <c r="F312" t="s">
        <v>34</v>
      </c>
      <c r="G312" s="811">
        <f>IFERROR(VLOOKUP(Loomakasvatus!C15,'M1 - LK'!$K$275:$L$277,2,FALSE),0)</f>
        <v>0</v>
      </c>
      <c r="H312" s="811">
        <f>IFERROR(VLOOKUP(Loomakasvatus!D15,'M1 - LK'!$K$275:$L$277,2,FALSE),0)</f>
        <v>0</v>
      </c>
      <c r="I312" s="811">
        <f>IFERROR(VLOOKUP(Loomakasvatus!E15,'M1 - LK'!$K$275:$L$277,2,FALSE),0)</f>
        <v>0</v>
      </c>
      <c r="J312" s="811">
        <f>IFERROR(VLOOKUP(Loomakasvatus!F15,'M1 - LK'!$K$275:$L$277,2,FALSE),0)</f>
        <v>0</v>
      </c>
      <c r="K312" s="811">
        <f>IFERROR(VLOOKUP(Loomakasvatus!G15,'M1 - LK'!$K$275:$L$277,2,FALSE),0)</f>
        <v>0</v>
      </c>
      <c r="L312" s="811">
        <f>IFERROR(VLOOKUP(Loomakasvatus!H15,'M1 - LK'!$K$275:$L$277,2,FALSE),0)</f>
        <v>0</v>
      </c>
      <c r="M312" s="811">
        <f>IFERROR(VLOOKUP(Loomakasvatus!I15,'M1 - LK'!$K$275:$L$277,2,FALSE),0)</f>
        <v>0</v>
      </c>
      <c r="N312" s="811">
        <f>IFERROR(VLOOKUP(Loomakasvatus!J15,'M1 - LK'!$K$275:$L$277,2,FALSE),0)</f>
        <v>0</v>
      </c>
      <c r="O312" s="811">
        <f>IFERROR(VLOOKUP(Loomakasvatus!K15,'M1 - LK'!$K$275:$L$277,2,FALSE),0)</f>
        <v>0</v>
      </c>
      <c r="P312" s="811">
        <f>IFERROR(VLOOKUP(Loomakasvatus!L15,'M1 - LK'!$K$275:$L$277,2,FALSE),0)</f>
        <v>0</v>
      </c>
      <c r="Q312" s="811">
        <f>IFERROR(VLOOKUP(Loomakasvatus!M15,'M1 - LK'!$K$275:$L$277,2,FALSE),0)</f>
        <v>0</v>
      </c>
      <c r="R312" s="811">
        <f>IFERROR(VLOOKUP(Loomakasvatus!N15,'M1 - LK'!$K$275:$L$277,2,FALSE),0)</f>
        <v>0</v>
      </c>
    </row>
    <row r="313" spans="2:18">
      <c r="B313" s="1343" t="s">
        <v>811</v>
      </c>
      <c r="C313" s="1343"/>
      <c r="D313" s="1343"/>
      <c r="E313" s="1343"/>
    </row>
    <row r="314" spans="2:18">
      <c r="B314" s="32" t="s">
        <v>813</v>
      </c>
      <c r="C314" s="203"/>
      <c r="D314" s="203"/>
      <c r="E314" s="816"/>
    </row>
    <row r="315" spans="2:18">
      <c r="B315" s="1344" t="s">
        <v>814</v>
      </c>
      <c r="C315" s="1344"/>
      <c r="D315" s="1344"/>
      <c r="E315" s="1344"/>
    </row>
    <row r="316" spans="2:18">
      <c r="B316" s="193" t="s">
        <v>816</v>
      </c>
      <c r="C316" s="178"/>
      <c r="D316" s="178"/>
      <c r="E316" s="194"/>
    </row>
    <row r="317" spans="2:18">
      <c r="B317" s="115" t="s">
        <v>818</v>
      </c>
      <c r="C317" s="31"/>
      <c r="E317" s="42">
        <f>SUM(G317:R317)</f>
        <v>0</v>
      </c>
      <c r="G317" s="42">
        <f>G318*(14/17)*0.01*(44/28)</f>
        <v>0</v>
      </c>
      <c r="H317" s="42">
        <f t="shared" ref="H317:R317" si="203">H318*(14/17)*0.01*(44/28)</f>
        <v>0</v>
      </c>
      <c r="I317" s="42">
        <f t="shared" si="203"/>
        <v>0</v>
      </c>
      <c r="J317" s="42">
        <f t="shared" si="203"/>
        <v>0</v>
      </c>
      <c r="K317" s="42">
        <f t="shared" si="203"/>
        <v>0</v>
      </c>
      <c r="L317" s="42">
        <f t="shared" si="203"/>
        <v>0</v>
      </c>
      <c r="M317" s="42">
        <f t="shared" si="203"/>
        <v>0</v>
      </c>
      <c r="N317" s="42">
        <f t="shared" si="203"/>
        <v>0</v>
      </c>
      <c r="O317" s="42">
        <f t="shared" si="203"/>
        <v>0</v>
      </c>
      <c r="P317" s="42">
        <f t="shared" si="203"/>
        <v>0</v>
      </c>
      <c r="Q317" s="42">
        <f t="shared" si="203"/>
        <v>0</v>
      </c>
      <c r="R317" s="42">
        <f t="shared" si="203"/>
        <v>0</v>
      </c>
    </row>
    <row r="318" spans="2:18">
      <c r="B318" s="344" t="s">
        <v>770</v>
      </c>
      <c r="C318" s="31" t="s">
        <v>771</v>
      </c>
      <c r="E318" s="824" t="e">
        <f>E299</f>
        <v>#REF!</v>
      </c>
      <c r="F318" t="s">
        <v>772</v>
      </c>
      <c r="G318" s="811">
        <f>G281</f>
        <v>0</v>
      </c>
      <c r="H318" s="811">
        <f t="shared" ref="H318:R318" si="204">H281</f>
        <v>0</v>
      </c>
      <c r="I318" s="811">
        <f t="shared" si="204"/>
        <v>0</v>
      </c>
      <c r="J318" s="811">
        <f t="shared" si="204"/>
        <v>0</v>
      </c>
      <c r="K318" s="811">
        <f t="shared" si="204"/>
        <v>0</v>
      </c>
      <c r="L318" s="811">
        <f t="shared" si="204"/>
        <v>0</v>
      </c>
      <c r="M318" s="811">
        <f t="shared" si="204"/>
        <v>0</v>
      </c>
      <c r="N318" s="811">
        <f t="shared" si="204"/>
        <v>0</v>
      </c>
      <c r="O318" s="811">
        <f t="shared" si="204"/>
        <v>0</v>
      </c>
      <c r="P318" s="811">
        <f t="shared" si="204"/>
        <v>0</v>
      </c>
      <c r="Q318" s="811">
        <f t="shared" si="204"/>
        <v>0</v>
      </c>
      <c r="R318" s="811">
        <f t="shared" si="204"/>
        <v>0</v>
      </c>
    </row>
    <row r="319" spans="2:18">
      <c r="B319" s="193" t="s">
        <v>819</v>
      </c>
      <c r="C319" s="178"/>
      <c r="D319" s="178"/>
      <c r="E319" s="194"/>
    </row>
    <row r="320" spans="2:18">
      <c r="B320" s="115" t="s">
        <v>820</v>
      </c>
      <c r="C320" s="31"/>
      <c r="E320" s="187">
        <f>SUM(G320:R320)</f>
        <v>0</v>
      </c>
      <c r="G320" s="42">
        <f>G321*(14/17)*0.01*(44/28)</f>
        <v>0</v>
      </c>
      <c r="H320" s="42">
        <f t="shared" ref="H320:R320" si="205">H321*(14/17)*0.01*(44/28)</f>
        <v>0</v>
      </c>
      <c r="I320" s="42">
        <f t="shared" si="205"/>
        <v>0</v>
      </c>
      <c r="J320" s="42">
        <f t="shared" si="205"/>
        <v>0</v>
      </c>
      <c r="K320" s="42">
        <f t="shared" si="205"/>
        <v>0</v>
      </c>
      <c r="L320" s="42">
        <f t="shared" si="205"/>
        <v>0</v>
      </c>
      <c r="M320" s="42">
        <f t="shared" si="205"/>
        <v>0</v>
      </c>
      <c r="N320" s="42">
        <f t="shared" si="205"/>
        <v>0</v>
      </c>
      <c r="O320" s="42">
        <f t="shared" si="205"/>
        <v>0</v>
      </c>
      <c r="P320" s="42">
        <f t="shared" si="205"/>
        <v>0</v>
      </c>
      <c r="Q320" s="42">
        <f t="shared" si="205"/>
        <v>0</v>
      </c>
      <c r="R320" s="42">
        <f t="shared" si="205"/>
        <v>0</v>
      </c>
    </row>
    <row r="321" spans="1:231">
      <c r="B321" s="346" t="s">
        <v>789</v>
      </c>
      <c r="C321" s="345" t="s">
        <v>790</v>
      </c>
      <c r="D321" s="36"/>
      <c r="E321" s="42" t="e">
        <f>E296</f>
        <v>#REF!</v>
      </c>
      <c r="F321" t="s">
        <v>772</v>
      </c>
      <c r="G321" s="811">
        <f>G296</f>
        <v>0</v>
      </c>
      <c r="H321" s="811">
        <f t="shared" ref="H321:R321" si="206">H296</f>
        <v>0</v>
      </c>
      <c r="I321" s="811">
        <f t="shared" si="206"/>
        <v>0</v>
      </c>
      <c r="J321" s="811">
        <f t="shared" si="206"/>
        <v>0</v>
      </c>
      <c r="K321" s="811">
        <f t="shared" si="206"/>
        <v>0</v>
      </c>
      <c r="L321" s="811">
        <f t="shared" si="206"/>
        <v>0</v>
      </c>
      <c r="M321" s="811">
        <f t="shared" si="206"/>
        <v>0</v>
      </c>
      <c r="N321" s="811">
        <f t="shared" si="206"/>
        <v>0</v>
      </c>
      <c r="O321" s="811">
        <f t="shared" si="206"/>
        <v>0</v>
      </c>
      <c r="P321" s="811">
        <f t="shared" si="206"/>
        <v>0</v>
      </c>
      <c r="Q321" s="811">
        <f t="shared" si="206"/>
        <v>0</v>
      </c>
      <c r="R321" s="811">
        <f t="shared" si="206"/>
        <v>0</v>
      </c>
    </row>
    <row r="322" spans="1:231">
      <c r="B322" s="31"/>
      <c r="C322" s="31"/>
    </row>
    <row r="323" spans="1:231">
      <c r="B323" s="1340" t="s">
        <v>856</v>
      </c>
      <c r="C323" s="1340"/>
      <c r="D323" s="1340"/>
      <c r="E323" s="1340"/>
    </row>
    <row r="324" spans="1:231">
      <c r="B324" s="1344" t="s">
        <v>857</v>
      </c>
      <c r="C324" s="1344"/>
      <c r="D324" s="1344"/>
      <c r="E324" s="1344"/>
      <c r="AW324" s="1"/>
      <c r="AX324" s="1"/>
      <c r="BF324" s="1"/>
      <c r="BG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row>
    <row r="325" spans="1:231" s="1" customFormat="1">
      <c r="B325" s="127" t="s">
        <v>728</v>
      </c>
      <c r="C325" s="178"/>
      <c r="D325" s="178"/>
      <c r="E325" s="348"/>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Y325"/>
      <c r="AZ325"/>
      <c r="BA325"/>
      <c r="BB325"/>
      <c r="BC325"/>
      <c r="BD325"/>
      <c r="BE325"/>
      <c r="BH325"/>
      <c r="BI325"/>
      <c r="BJ325"/>
      <c r="BK325"/>
      <c r="BL325"/>
      <c r="BM325"/>
      <c r="BN325"/>
      <c r="BO325"/>
      <c r="BP325"/>
      <c r="BQ325"/>
      <c r="BR325"/>
      <c r="BS325"/>
      <c r="BT325"/>
      <c r="BU325"/>
      <c r="BV325"/>
      <c r="BW325"/>
      <c r="BX325"/>
      <c r="BY325"/>
      <c r="BZ325"/>
      <c r="CA325"/>
      <c r="CB325"/>
      <c r="CC325"/>
      <c r="CD325"/>
      <c r="CE325"/>
      <c r="CF325"/>
      <c r="CG325"/>
      <c r="CH325"/>
      <c r="CI325"/>
    </row>
    <row r="326" spans="1:231" s="1" customFormat="1">
      <c r="B326" s="349" t="s">
        <v>729</v>
      </c>
      <c r="C326" s="189"/>
      <c r="D326" s="189"/>
      <c r="E326" s="350"/>
      <c r="F326"/>
      <c r="G326" s="1" t="str" cm="1">
        <f t="array" ref="G326:I326">Loomakasvatus!C110:E110</f>
        <v>Nuumsead</v>
      </c>
      <c r="H326" s="1" t="str">
        <v>Võõrdepõrsad</v>
      </c>
      <c r="I326" s="1" t="str">
        <v>Imetavad, tiined ja vabad emised, nooremised</v>
      </c>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Y326"/>
      <c r="AZ326"/>
      <c r="BA326"/>
      <c r="BB326"/>
      <c r="BC326"/>
      <c r="BD326"/>
      <c r="BE326"/>
      <c r="BH326"/>
      <c r="BI326"/>
      <c r="BJ326"/>
      <c r="BK326"/>
      <c r="BL326"/>
      <c r="BM326"/>
      <c r="BN326"/>
      <c r="BO326"/>
      <c r="BP326"/>
      <c r="BQ326"/>
      <c r="BR326"/>
      <c r="BS326"/>
      <c r="BT326"/>
      <c r="BU326"/>
      <c r="BV326"/>
      <c r="BW326"/>
      <c r="BX326"/>
      <c r="BY326"/>
      <c r="BZ326"/>
      <c r="CA326"/>
      <c r="CB326"/>
      <c r="CC326"/>
      <c r="CD326"/>
      <c r="CE326"/>
      <c r="CF326"/>
      <c r="CG326"/>
      <c r="CH326"/>
      <c r="CI326"/>
    </row>
    <row r="327" spans="1:231" s="1" customFormat="1">
      <c r="B327" s="333" t="s">
        <v>731</v>
      </c>
      <c r="C327" s="31" t="s">
        <v>858</v>
      </c>
      <c r="D327"/>
      <c r="E327" s="949" t="e">
        <f>E328*E329/1000</f>
        <v>#REF!</v>
      </c>
      <c r="F327"/>
      <c r="G327" s="42">
        <f>G328*G329/1000</f>
        <v>0</v>
      </c>
      <c r="H327" s="42">
        <f t="shared" ref="H327:I327" si="207">H328*H329/1000</f>
        <v>0</v>
      </c>
      <c r="I327" s="42">
        <f t="shared" si="207"/>
        <v>0</v>
      </c>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Y327"/>
      <c r="AZ327"/>
      <c r="BA327"/>
      <c r="BB327"/>
      <c r="BC327"/>
      <c r="BD327"/>
      <c r="BE327"/>
      <c r="BH327"/>
      <c r="BI327"/>
      <c r="BJ327"/>
      <c r="BK327"/>
      <c r="BL327"/>
      <c r="BM327"/>
      <c r="BP327"/>
      <c r="BQ327"/>
      <c r="BR327"/>
      <c r="BS327"/>
      <c r="BT327"/>
      <c r="BU327"/>
      <c r="BV327"/>
      <c r="BW327"/>
      <c r="BX327"/>
      <c r="BY327"/>
      <c r="BZ327"/>
      <c r="CA327"/>
      <c r="CB327"/>
      <c r="CC327"/>
      <c r="CD327"/>
      <c r="CE327"/>
      <c r="CF327"/>
      <c r="CG327"/>
      <c r="CH327"/>
      <c r="CI327"/>
    </row>
    <row r="328" spans="1:231">
      <c r="A328" s="1"/>
      <c r="B328" s="333" t="s">
        <v>734</v>
      </c>
      <c r="C328" s="31" t="s">
        <v>859</v>
      </c>
      <c r="E328" s="950" t="e">
        <f>Loomakasvatus!#REF!</f>
        <v>#REF!</v>
      </c>
      <c r="G328" s="811" cm="1">
        <f t="array" ref="G328:I328">Loomakasvatus!C114:E114</f>
        <v>0</v>
      </c>
      <c r="H328" s="811">
        <v>0</v>
      </c>
      <c r="I328" s="811">
        <v>0</v>
      </c>
      <c r="AX328" s="1"/>
      <c r="BE328" s="1"/>
      <c r="BF328" s="1"/>
      <c r="BG328" s="1"/>
      <c r="BN328" s="1"/>
      <c r="BO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row>
    <row r="329" spans="1:231">
      <c r="B329" s="353" t="s">
        <v>737</v>
      </c>
      <c r="C329" s="343" t="s">
        <v>860</v>
      </c>
      <c r="D329" s="8"/>
      <c r="E329" s="951" t="e">
        <f>Loomakasvatus!#REF!</f>
        <v>#REF!</v>
      </c>
      <c r="G329" s="811" cm="1">
        <f t="array" ref="G329:I329">Loomakasvatus!C113:E113</f>
        <v>0</v>
      </c>
      <c r="H329" s="811">
        <v>0</v>
      </c>
      <c r="I329" s="811">
        <v>0</v>
      </c>
      <c r="BE329" s="1"/>
      <c r="BN329" s="1"/>
      <c r="BO329" s="1"/>
    </row>
    <row r="330" spans="1:231">
      <c r="B330" s="127" t="s">
        <v>835</v>
      </c>
      <c r="C330" s="178"/>
      <c r="D330" s="178"/>
      <c r="E330" s="348"/>
      <c r="BE330" s="1"/>
      <c r="BN330" s="1"/>
      <c r="BO330" s="1"/>
      <c r="BV330" s="1"/>
      <c r="CC330" s="1"/>
    </row>
    <row r="331" spans="1:231">
      <c r="B331" s="349" t="s">
        <v>836</v>
      </c>
      <c r="C331" s="189"/>
      <c r="D331" s="189"/>
      <c r="E331" s="350"/>
      <c r="BE331" s="1"/>
      <c r="BN331" s="1"/>
      <c r="BO331" s="1"/>
      <c r="BV331" s="1"/>
      <c r="CC331" s="1"/>
      <c r="CD331" s="1"/>
      <c r="CE331" s="1"/>
      <c r="CF331" s="1"/>
      <c r="CG331" s="1"/>
      <c r="CH331" s="1"/>
      <c r="CI331" s="1"/>
    </row>
    <row r="332" spans="1:231">
      <c r="B332" s="333" t="s">
        <v>837</v>
      </c>
      <c r="C332" s="31" t="s">
        <v>861</v>
      </c>
      <c r="E332" s="949" t="e">
        <f>E333*E334/1000</f>
        <v>#REF!</v>
      </c>
      <c r="G332" s="42">
        <f>G333*G334/1000</f>
        <v>0</v>
      </c>
      <c r="H332" s="42">
        <f t="shared" ref="H332:I332" si="208">H333*H334/1000</f>
        <v>0</v>
      </c>
      <c r="I332" s="42">
        <f t="shared" si="208"/>
        <v>0</v>
      </c>
      <c r="BE332" s="1"/>
      <c r="BV332" s="1"/>
      <c r="CC332" s="1"/>
      <c r="CD332" s="1"/>
      <c r="CE332" s="1"/>
      <c r="CF332" s="1"/>
      <c r="CG332" s="1"/>
      <c r="CH332" s="1"/>
      <c r="CI332" s="1"/>
    </row>
    <row r="333" spans="1:231">
      <c r="B333" t="s">
        <v>839</v>
      </c>
      <c r="C333" s="31" t="s">
        <v>862</v>
      </c>
      <c r="E333" s="949">
        <f>'M1 - LK'!U177</f>
        <v>26</v>
      </c>
      <c r="G333" s="811">
        <f>'M1 - LK'!U178</f>
        <v>26</v>
      </c>
      <c r="H333" s="811">
        <f>'M1 - LK'!U177</f>
        <v>26</v>
      </c>
      <c r="I333" s="811">
        <f>'M1 - LK'!U176</f>
        <v>25</v>
      </c>
      <c r="BV333" s="1"/>
      <c r="CC333" s="1"/>
      <c r="CD333" s="1"/>
      <c r="CE333" s="1"/>
      <c r="CF333" s="1"/>
      <c r="CG333" s="1"/>
      <c r="CH333" s="1"/>
      <c r="CI333" s="1"/>
    </row>
    <row r="334" spans="1:231">
      <c r="B334" s="353" t="s">
        <v>748</v>
      </c>
      <c r="C334" s="343" t="s">
        <v>863</v>
      </c>
      <c r="D334" s="8"/>
      <c r="E334" s="951" t="e">
        <f>Loomakasvatus!#REF!</f>
        <v>#REF!</v>
      </c>
      <c r="G334" s="811" cm="1">
        <f t="array" ref="G334:I334">Loomakasvatus!C115:E115</f>
        <v>0</v>
      </c>
      <c r="H334" s="811">
        <v>0</v>
      </c>
      <c r="I334" s="811">
        <v>0</v>
      </c>
      <c r="BV334" s="1"/>
      <c r="CC334" s="1"/>
      <c r="CD334" s="1"/>
      <c r="CE334" s="1"/>
      <c r="CF334" s="1"/>
      <c r="CG334" s="1"/>
      <c r="CH334" s="1"/>
      <c r="CI334" s="1"/>
    </row>
    <row r="335" spans="1:231">
      <c r="B335" s="127" t="s">
        <v>842</v>
      </c>
      <c r="C335" s="178"/>
      <c r="D335" s="178"/>
      <c r="E335" s="348"/>
      <c r="CD335" s="1"/>
      <c r="CE335" s="1"/>
      <c r="CF335" s="1"/>
      <c r="CG335" s="1"/>
      <c r="CH335" s="1"/>
      <c r="CI335" s="1"/>
    </row>
    <row r="336" spans="1:231">
      <c r="B336" s="349" t="s">
        <v>843</v>
      </c>
      <c r="C336" s="189"/>
      <c r="D336" s="189"/>
      <c r="E336" s="350"/>
      <c r="BW336" s="1"/>
      <c r="BX336" s="1"/>
      <c r="BY336" s="1"/>
      <c r="BZ336" s="1"/>
      <c r="CA336" s="1"/>
      <c r="CB336" s="1"/>
    </row>
    <row r="337" spans="2:80">
      <c r="B337" s="6" t="s">
        <v>844</v>
      </c>
      <c r="C337" t="s">
        <v>864</v>
      </c>
      <c r="E337" s="949"/>
      <c r="BW337" s="1"/>
      <c r="BX337" s="1"/>
      <c r="BY337" s="1"/>
      <c r="BZ337" s="1"/>
      <c r="CA337" s="1"/>
      <c r="CB337" s="1"/>
    </row>
    <row r="338" spans="2:80">
      <c r="B338" s="31" t="s">
        <v>846</v>
      </c>
      <c r="C338" s="31" t="s">
        <v>865</v>
      </c>
      <c r="E338" s="949"/>
      <c r="BH338" s="1"/>
      <c r="BI338" s="1"/>
      <c r="BJ338" s="1"/>
      <c r="BK338" s="1"/>
      <c r="BL338" s="1"/>
      <c r="BM338" s="1"/>
      <c r="BW338" s="1"/>
      <c r="BX338" s="1"/>
      <c r="BY338" s="1"/>
      <c r="BZ338" s="1"/>
      <c r="CA338" s="1"/>
      <c r="CB338" s="1"/>
    </row>
    <row r="339" spans="2:80">
      <c r="B339" s="353" t="s">
        <v>848</v>
      </c>
      <c r="C339" s="343" t="s">
        <v>866</v>
      </c>
      <c r="D339" s="8"/>
      <c r="E339" s="952"/>
      <c r="BH339" s="1"/>
      <c r="BI339" s="1"/>
      <c r="BJ339" s="1"/>
      <c r="BK339" s="1"/>
      <c r="BL339" s="1"/>
      <c r="BM339" s="1"/>
      <c r="BW339" s="1"/>
      <c r="BX339" s="1"/>
      <c r="BY339" s="1"/>
      <c r="BZ339" s="1"/>
      <c r="CA339" s="1"/>
      <c r="CB339" s="1"/>
    </row>
    <row r="340" spans="2:80">
      <c r="B340" s="188" t="s">
        <v>850</v>
      </c>
      <c r="C340" s="189"/>
      <c r="D340" s="189"/>
      <c r="E340" s="190"/>
      <c r="BH340" s="1"/>
      <c r="BI340" s="1"/>
      <c r="BJ340" s="1"/>
      <c r="BK340" s="1"/>
      <c r="BL340" s="1"/>
      <c r="BM340" s="1"/>
      <c r="BW340" s="1"/>
      <c r="BX340" s="1"/>
      <c r="BY340" s="1"/>
      <c r="BZ340" s="1"/>
      <c r="CA340" s="1"/>
      <c r="CB340" s="1"/>
    </row>
    <row r="341" spans="2:80">
      <c r="B341" s="188" t="s">
        <v>851</v>
      </c>
      <c r="C341" s="189"/>
      <c r="D341" s="189"/>
      <c r="E341" s="190"/>
      <c r="BH341" s="1"/>
      <c r="BI341" s="1"/>
      <c r="BJ341" s="1"/>
      <c r="BK341" s="1"/>
      <c r="BL341" s="1"/>
      <c r="BM341" s="1"/>
    </row>
    <row r="342" spans="2:80">
      <c r="B342" s="20" t="s">
        <v>742</v>
      </c>
      <c r="C342" t="s">
        <v>867</v>
      </c>
      <c r="E342" s="949" t="e">
        <f>E343-E332</f>
        <v>#REF!</v>
      </c>
      <c r="G342" s="42">
        <f>G327-G332</f>
        <v>0</v>
      </c>
      <c r="H342" s="42">
        <f t="shared" ref="H342:I342" si="209">H327-H332</f>
        <v>0</v>
      </c>
      <c r="I342" s="42">
        <f t="shared" si="209"/>
        <v>0</v>
      </c>
      <c r="BH342" s="1"/>
      <c r="BI342" s="1"/>
      <c r="BJ342" s="1"/>
      <c r="BK342" s="1"/>
      <c r="BL342" s="1"/>
      <c r="BM342" s="1"/>
      <c r="BP342" s="1"/>
      <c r="BQ342" s="1"/>
      <c r="BR342" s="1"/>
      <c r="BS342" s="1"/>
      <c r="BT342" s="1"/>
      <c r="BU342" s="1"/>
    </row>
    <row r="343" spans="2:80">
      <c r="B343" s="125" t="s">
        <v>731</v>
      </c>
      <c r="C343" s="36" t="s">
        <v>858</v>
      </c>
      <c r="D343" s="36"/>
      <c r="E343" s="949" t="e">
        <f>E327</f>
        <v>#REF!</v>
      </c>
      <c r="BP343" s="1"/>
      <c r="BQ343" s="1"/>
      <c r="BR343" s="1"/>
      <c r="BS343" s="1"/>
      <c r="BT343" s="1"/>
      <c r="BU343" s="1"/>
    </row>
    <row r="344" spans="2:80">
      <c r="B344" s="1348" t="s">
        <v>751</v>
      </c>
      <c r="C344" s="1348"/>
      <c r="D344" s="1348"/>
      <c r="E344" s="1348"/>
      <c r="BP344" s="1"/>
      <c r="BQ344" s="1"/>
      <c r="BR344" s="1"/>
      <c r="BS344" s="1"/>
      <c r="BT344" s="1"/>
      <c r="BU344" s="1"/>
    </row>
    <row r="345" spans="2:80">
      <c r="B345" s="372" t="s">
        <v>754</v>
      </c>
      <c r="C345" s="373"/>
      <c r="D345" s="373"/>
      <c r="E345" s="374"/>
      <c r="BP345" s="1"/>
      <c r="BQ345" s="1"/>
      <c r="BR345" s="1"/>
      <c r="BS345" s="1"/>
      <c r="BT345" s="1"/>
      <c r="BU345" s="1"/>
    </row>
    <row r="346" spans="2:80">
      <c r="B346" s="382" t="s">
        <v>742</v>
      </c>
      <c r="C346" s="383" t="s">
        <v>743</v>
      </c>
      <c r="D346" s="368"/>
      <c r="E346" s="376">
        <f>E347*E348</f>
        <v>0</v>
      </c>
      <c r="BP346" s="1"/>
      <c r="BQ346" s="1"/>
      <c r="BR346" s="1"/>
      <c r="BS346" s="1"/>
      <c r="BT346" s="1"/>
      <c r="BU346" s="1"/>
    </row>
    <row r="347" spans="2:80">
      <c r="B347" s="382" t="s">
        <v>446</v>
      </c>
      <c r="C347" s="383" t="s">
        <v>755</v>
      </c>
      <c r="D347" s="368"/>
      <c r="E347" s="379"/>
    </row>
    <row r="348" spans="2:80">
      <c r="B348" s="384" t="s">
        <v>756</v>
      </c>
      <c r="C348" s="385" t="s">
        <v>757</v>
      </c>
      <c r="D348" s="381"/>
      <c r="E348" s="376"/>
    </row>
    <row r="349" spans="2:80">
      <c r="B349" s="1340" t="s">
        <v>759</v>
      </c>
      <c r="C349" s="1340"/>
      <c r="D349" s="1340"/>
      <c r="E349" s="1340"/>
    </row>
    <row r="350" spans="2:80">
      <c r="B350" s="188" t="s">
        <v>760</v>
      </c>
      <c r="C350" s="189"/>
      <c r="D350" s="189"/>
      <c r="E350" s="190"/>
    </row>
    <row r="351" spans="2:80">
      <c r="B351" s="188" t="s">
        <v>761</v>
      </c>
      <c r="C351" s="189"/>
      <c r="D351" s="189"/>
      <c r="E351" s="190"/>
    </row>
    <row r="352" spans="2:80">
      <c r="B352" s="115" t="s">
        <v>762</v>
      </c>
      <c r="C352" s="31" t="s">
        <v>763</v>
      </c>
      <c r="D352" s="33"/>
      <c r="E352" s="953" t="e">
        <f>1-(E353/365*E354/24)</f>
        <v>#REF!</v>
      </c>
      <c r="G352" s="42">
        <f>1-(G353/365*G354/24)</f>
        <v>1</v>
      </c>
      <c r="H352" s="42">
        <f t="shared" ref="H352:I352" si="210">1-(H353/365*H354/24)</f>
        <v>1</v>
      </c>
      <c r="I352" s="42">
        <f t="shared" si="210"/>
        <v>1</v>
      </c>
    </row>
    <row r="353" spans="2:56">
      <c r="B353" s="115" t="s">
        <v>764</v>
      </c>
      <c r="C353" s="31" t="s">
        <v>765</v>
      </c>
      <c r="D353" s="33"/>
      <c r="E353" s="664" t="e">
        <f>Loomakasvatus!#REF!</f>
        <v>#REF!</v>
      </c>
      <c r="G353" s="811" cm="1">
        <f t="array" ref="G353:I353">Loomakasvatus!C116:E116</f>
        <v>0</v>
      </c>
      <c r="H353" s="811">
        <v>0</v>
      </c>
      <c r="I353" s="811">
        <v>0</v>
      </c>
    </row>
    <row r="354" spans="2:56">
      <c r="B354" s="115" t="s">
        <v>766</v>
      </c>
      <c r="C354" s="31" t="s">
        <v>767</v>
      </c>
      <c r="D354" s="33"/>
      <c r="E354" s="664" t="e">
        <f>Loomakasvatus!#REF!</f>
        <v>#REF!</v>
      </c>
      <c r="G354" s="811" cm="1">
        <f t="array" ref="G354:I354">Loomakasvatus!C117:E117</f>
        <v>0</v>
      </c>
      <c r="H354" s="811">
        <v>0</v>
      </c>
      <c r="I354" s="811">
        <v>0</v>
      </c>
    </row>
    <row r="355" spans="2:56">
      <c r="B355" s="188" t="s">
        <v>768</v>
      </c>
      <c r="C355" s="189"/>
      <c r="D355" s="189"/>
      <c r="E355" s="190"/>
    </row>
    <row r="356" spans="2:56">
      <c r="B356" s="188" t="s">
        <v>769</v>
      </c>
      <c r="C356" s="189"/>
      <c r="D356" s="189"/>
      <c r="E356" s="190"/>
    </row>
    <row r="357" spans="2:56">
      <c r="B357" s="20" t="s">
        <v>770</v>
      </c>
      <c r="C357" t="s">
        <v>771</v>
      </c>
      <c r="E357" s="953" t="e">
        <f>E358*E362/100*E363</f>
        <v>#REF!</v>
      </c>
      <c r="G357" s="42">
        <f>G358*G359/100*G363</f>
        <v>0</v>
      </c>
      <c r="H357" s="42">
        <f t="shared" ref="H357:I357" si="211">H358*H359/100*H363</f>
        <v>0</v>
      </c>
      <c r="I357" s="42">
        <f t="shared" si="211"/>
        <v>0</v>
      </c>
    </row>
    <row r="358" spans="2:56">
      <c r="B358" s="115" t="s">
        <v>742</v>
      </c>
      <c r="C358" s="31" t="s">
        <v>743</v>
      </c>
      <c r="E358" s="953" t="e">
        <f>E342</f>
        <v>#REF!</v>
      </c>
      <c r="G358" s="811">
        <f>G342</f>
        <v>0</v>
      </c>
      <c r="H358" s="811">
        <f t="shared" ref="H358:I358" si="212">H342</f>
        <v>0</v>
      </c>
      <c r="I358" s="811">
        <f t="shared" si="212"/>
        <v>0</v>
      </c>
    </row>
    <row r="359" spans="2:56">
      <c r="B359" s="115" t="s">
        <v>868</v>
      </c>
      <c r="C359" s="31" t="s">
        <v>869</v>
      </c>
      <c r="E359" s="953" t="e">
        <f>VLOOKUP(Loomakasvatus!C111,'M1 - LK'!U223:V234,2,FALSE)</f>
        <v>#N/A</v>
      </c>
      <c r="F359" t="s">
        <v>34</v>
      </c>
      <c r="G359" s="811">
        <f>IFERROR(VLOOKUP(Loomakasvatus!C111,'M1 - LK'!U223:V234,2,FALSE),0)</f>
        <v>0</v>
      </c>
      <c r="H359" s="811">
        <f>IFERROR(VLOOKUP(Loomakasvatus!D111,'M1 - LK'!U235:V245,2,FALSE),0)</f>
        <v>0</v>
      </c>
      <c r="I359" s="811">
        <f>IFERROR(VLOOKUP(Loomakasvatus!E111,'M1 - LK'!U246:V260,2,FALSE),0)</f>
        <v>0</v>
      </c>
    </row>
    <row r="360" spans="2:56">
      <c r="B360" s="115" t="s">
        <v>868</v>
      </c>
      <c r="C360" s="31" t="s">
        <v>870</v>
      </c>
      <c r="E360" s="953" t="e">
        <f>VLOOKUP(Loomakasvatus!D111,'M1 - LK'!U235:V245,2,FALSE)</f>
        <v>#N/A</v>
      </c>
      <c r="F360" t="s">
        <v>34</v>
      </c>
    </row>
    <row r="361" spans="2:56">
      <c r="B361" s="115" t="s">
        <v>868</v>
      </c>
      <c r="C361" s="31" t="s">
        <v>871</v>
      </c>
      <c r="E361" s="953" t="e">
        <f>VLOOKUP(Loomakasvatus!E111,'M1 - LK'!U246:V260,2,FALSE)</f>
        <v>#N/A</v>
      </c>
      <c r="F361" t="s">
        <v>34</v>
      </c>
    </row>
    <row r="362" spans="2:56">
      <c r="B362" s="115" t="s">
        <v>777</v>
      </c>
      <c r="C362" s="31"/>
      <c r="E362" s="953" t="e">
        <f>AVERAGE(E359:E361)</f>
        <v>#N/A</v>
      </c>
      <c r="F362" t="s">
        <v>34</v>
      </c>
    </row>
    <row r="363" spans="2:56">
      <c r="B363" s="344" t="s">
        <v>762</v>
      </c>
      <c r="C363" s="31" t="s">
        <v>763</v>
      </c>
      <c r="E363" s="953" t="e">
        <f>E352</f>
        <v>#REF!</v>
      </c>
      <c r="G363" s="811" cm="1">
        <f t="array" ref="G363:I363">G352:I352</f>
        <v>1</v>
      </c>
      <c r="H363" s="811">
        <v>1</v>
      </c>
      <c r="I363" s="811">
        <v>1</v>
      </c>
      <c r="AY363" s="1"/>
      <c r="AZ363" s="1"/>
      <c r="BA363" s="1"/>
      <c r="BB363" s="1"/>
    </row>
    <row r="364" spans="2:56">
      <c r="B364" s="188" t="s">
        <v>778</v>
      </c>
      <c r="C364" s="189"/>
      <c r="D364" s="189"/>
      <c r="E364" s="190"/>
      <c r="AY364" s="1"/>
      <c r="AZ364" s="1"/>
      <c r="BA364" s="1"/>
      <c r="BB364" s="1"/>
      <c r="BD364" s="1"/>
    </row>
    <row r="365" spans="2:56">
      <c r="B365" s="188" t="s">
        <v>779</v>
      </c>
      <c r="C365" s="189"/>
      <c r="D365" s="189"/>
      <c r="E365" s="190"/>
      <c r="AY365" s="1"/>
      <c r="AZ365" s="1"/>
      <c r="BA365" s="1"/>
      <c r="BB365" s="1"/>
      <c r="BD365" s="1"/>
    </row>
    <row r="366" spans="2:56">
      <c r="B366" s="115" t="s">
        <v>780</v>
      </c>
      <c r="C366" s="31" t="s">
        <v>781</v>
      </c>
      <c r="E366" s="370">
        <f>SUM(G366:I366)</f>
        <v>0</v>
      </c>
      <c r="F366" t="s">
        <v>772</v>
      </c>
      <c r="G366" s="42">
        <f>G367*G368*G369</f>
        <v>0</v>
      </c>
      <c r="H366" s="42">
        <f t="shared" ref="H366:I366" si="213">H367*H368*H369</f>
        <v>0</v>
      </c>
      <c r="I366" s="42">
        <f t="shared" si="213"/>
        <v>0</v>
      </c>
      <c r="AY366" s="1"/>
      <c r="AZ366" s="1"/>
      <c r="BA366" s="1"/>
      <c r="BB366" s="1"/>
      <c r="BD366" s="1"/>
    </row>
    <row r="367" spans="2:56">
      <c r="B367" s="344" t="s">
        <v>446</v>
      </c>
      <c r="C367" s="31" t="s">
        <v>782</v>
      </c>
      <c r="E367" s="1013">
        <f>SUM(_xlfn.ANCHORARRAY(G367))</f>
        <v>0</v>
      </c>
      <c r="F367" t="s">
        <v>299</v>
      </c>
      <c r="G367" s="811" cm="1">
        <f t="array" ref="G367:I367">Loomakasvatus!C112:E112</f>
        <v>0</v>
      </c>
      <c r="H367" s="811">
        <v>0</v>
      </c>
      <c r="I367" s="811">
        <v>0</v>
      </c>
      <c r="AY367" s="1"/>
      <c r="AZ367" s="1"/>
      <c r="BA367" s="1"/>
      <c r="BB367" s="1"/>
      <c r="BD367" s="1"/>
    </row>
    <row r="368" spans="2:56">
      <c r="B368" s="344" t="s">
        <v>783</v>
      </c>
      <c r="C368" s="31" t="s">
        <v>784</v>
      </c>
      <c r="E368" s="953">
        <f>'M1 - LK'!L240</f>
        <v>1.5</v>
      </c>
      <c r="F368" t="s">
        <v>758</v>
      </c>
      <c r="G368" s="811">
        <f>'M1 - LK'!L240</f>
        <v>1.5</v>
      </c>
      <c r="H368" s="811">
        <f>'M1 - LK'!L240</f>
        <v>1.5</v>
      </c>
      <c r="I368" s="811">
        <f>'M1 - LK'!L240</f>
        <v>1.5</v>
      </c>
      <c r="BC368" s="1"/>
      <c r="BD368" s="1"/>
    </row>
    <row r="369" spans="2:55">
      <c r="B369" s="339" t="s">
        <v>762</v>
      </c>
      <c r="C369" s="345" t="s">
        <v>763</v>
      </c>
      <c r="D369" s="36"/>
      <c r="E369" s="954" t="e">
        <f>E352</f>
        <v>#REF!</v>
      </c>
      <c r="F369" t="s">
        <v>872</v>
      </c>
      <c r="G369" s="811">
        <v>1</v>
      </c>
      <c r="H369" s="811">
        <v>1</v>
      </c>
      <c r="I369" s="811">
        <v>1</v>
      </c>
      <c r="BC369" s="1"/>
    </row>
    <row r="370" spans="2:55">
      <c r="B370" s="1340" t="s">
        <v>786</v>
      </c>
      <c r="C370" s="1340"/>
      <c r="D370" s="1340"/>
      <c r="E370" s="1340"/>
      <c r="BC370" s="1"/>
    </row>
    <row r="371" spans="2:55">
      <c r="B371" s="199" t="s">
        <v>787</v>
      </c>
      <c r="C371" s="191"/>
      <c r="D371" s="191"/>
      <c r="E371" s="192"/>
      <c r="BC371" s="1"/>
    </row>
    <row r="372" spans="2:55">
      <c r="B372" s="188" t="s">
        <v>788</v>
      </c>
      <c r="C372" s="189"/>
      <c r="D372" s="189"/>
      <c r="E372" s="190"/>
      <c r="BC372" s="1"/>
    </row>
    <row r="373" spans="2:55">
      <c r="B373" s="115" t="s">
        <v>789</v>
      </c>
      <c r="C373" s="31" t="s">
        <v>790</v>
      </c>
      <c r="E373" s="938" t="e">
        <f>(E374*E375-E376/1.214)*E377/100</f>
        <v>#REF!</v>
      </c>
      <c r="F373" t="s">
        <v>772</v>
      </c>
      <c r="G373" s="42">
        <f>(G374*G375-G376/1.214)*G377/100</f>
        <v>0</v>
      </c>
      <c r="H373" s="42">
        <f t="shared" ref="H373:I373" si="214">(H374*H375-H376/1.214)*H377/100</f>
        <v>0</v>
      </c>
      <c r="I373" s="42">
        <f t="shared" si="214"/>
        <v>0</v>
      </c>
    </row>
    <row r="374" spans="2:55">
      <c r="B374" s="115" t="s">
        <v>742</v>
      </c>
      <c r="C374" s="31" t="s">
        <v>743</v>
      </c>
      <c r="E374" s="938" t="e">
        <f>E342</f>
        <v>#REF!</v>
      </c>
      <c r="F374" t="s">
        <v>135</v>
      </c>
      <c r="G374" s="811" cm="1">
        <f t="array" ref="G374:I374">G342:I342</f>
        <v>0</v>
      </c>
      <c r="H374" s="811">
        <v>0</v>
      </c>
      <c r="I374" s="811">
        <v>0</v>
      </c>
    </row>
    <row r="375" spans="2:55">
      <c r="B375" s="344" t="s">
        <v>762</v>
      </c>
      <c r="C375" s="31" t="s">
        <v>763</v>
      </c>
      <c r="E375" s="938" t="e">
        <f>E352</f>
        <v>#REF!</v>
      </c>
      <c r="G375" s="811" cm="1">
        <f t="array" ref="G375:I375">G352:I352</f>
        <v>1</v>
      </c>
      <c r="H375" s="811">
        <v>1</v>
      </c>
      <c r="I375" s="811">
        <v>1</v>
      </c>
    </row>
    <row r="376" spans="2:55">
      <c r="B376" s="344" t="s">
        <v>770</v>
      </c>
      <c r="C376" s="31" t="s">
        <v>771</v>
      </c>
      <c r="E376" s="938" t="e">
        <f>E357</f>
        <v>#REF!</v>
      </c>
      <c r="F376" t="s">
        <v>772</v>
      </c>
      <c r="G376" s="811" cm="1">
        <f t="array" ref="G376:I376">G357:I357</f>
        <v>0</v>
      </c>
      <c r="H376" s="811">
        <v>0</v>
      </c>
      <c r="I376" s="811">
        <v>0</v>
      </c>
    </row>
    <row r="377" spans="2:55">
      <c r="B377" s="344" t="s">
        <v>792</v>
      </c>
      <c r="C377" s="31" t="s">
        <v>793</v>
      </c>
      <c r="E377" s="938" t="e">
        <f>VLOOKUP(Loomakasvatus!#REF!,'M1 - LK'!K251:L257,2,FALSE)</f>
        <v>#REF!</v>
      </c>
      <c r="F377" t="s">
        <v>34</v>
      </c>
      <c r="G377" s="811">
        <f>IFERROR(VLOOKUP(Loomakasvatus!C118,'M1 - LK'!$K$251:$L$257,2,FALSE),0)</f>
        <v>0</v>
      </c>
      <c r="H377" s="811">
        <f>IFERROR(VLOOKUP(Loomakasvatus!D118,'M1 - LK'!$K$251:$L$257,2,FALSE),0)</f>
        <v>0</v>
      </c>
      <c r="I377" s="811">
        <f>IFERROR(VLOOKUP(Loomakasvatus!E118,'M1 - LK'!$K$251:$L$257,2,FALSE),0)</f>
        <v>0</v>
      </c>
    </row>
    <row r="378" spans="2:55">
      <c r="B378" s="193" t="s">
        <v>794</v>
      </c>
      <c r="C378" s="178"/>
      <c r="D378" s="178"/>
      <c r="E378" s="194"/>
    </row>
    <row r="379" spans="2:55">
      <c r="B379" s="188" t="s">
        <v>795</v>
      </c>
      <c r="C379" s="189"/>
      <c r="D379" s="189"/>
      <c r="E379" s="190"/>
    </row>
    <row r="380" spans="2:55">
      <c r="B380" s="115" t="s">
        <v>798</v>
      </c>
      <c r="C380" s="31" t="s">
        <v>799</v>
      </c>
      <c r="E380" s="371">
        <f>SUM(G380:I380)</f>
        <v>0</v>
      </c>
      <c r="F380" t="s">
        <v>772</v>
      </c>
      <c r="G380" s="42">
        <f>G381*G382*G383</f>
        <v>0</v>
      </c>
      <c r="H380" s="42">
        <f t="shared" ref="H380:I380" si="215">H381*H382*H383</f>
        <v>0</v>
      </c>
      <c r="I380" s="42">
        <f t="shared" si="215"/>
        <v>0</v>
      </c>
    </row>
    <row r="381" spans="2:55">
      <c r="B381" s="344" t="s">
        <v>446</v>
      </c>
      <c r="C381" s="31" t="s">
        <v>800</v>
      </c>
      <c r="E381" s="955">
        <f>E367</f>
        <v>0</v>
      </c>
      <c r="F381" t="s">
        <v>299</v>
      </c>
      <c r="G381" s="811" cm="1">
        <f t="array" ref="G381:I381">Loomakasvatus!C112:E112</f>
        <v>0</v>
      </c>
      <c r="H381" s="811">
        <v>0</v>
      </c>
      <c r="I381" s="811">
        <v>0</v>
      </c>
    </row>
    <row r="382" spans="2:55">
      <c r="B382" s="344" t="s">
        <v>801</v>
      </c>
      <c r="C382" s="31" t="s">
        <v>784</v>
      </c>
      <c r="E382" s="955">
        <f>IF(ISNUMBER(MATCH(Loomakasvatus!#REF!,'M1 - LK'!K251:K254, 0)), 'M1 - LK'!M268, 'M1 - LK'!M267)</f>
        <v>5.5</v>
      </c>
      <c r="F382" t="s">
        <v>758</v>
      </c>
      <c r="G382" s="811">
        <f>IFERROR(VLOOKUP(Loomakasvatus!C119,'M1 - LK'!$L$267:$M$269,2,FALSE),0)</f>
        <v>0</v>
      </c>
      <c r="H382" s="811">
        <f>IFERROR(VLOOKUP(Loomakasvatus!D119,'M1 - LK'!$L$267:$M$269,2,FALSE),0)</f>
        <v>0</v>
      </c>
      <c r="I382" s="811">
        <f>IFERROR(VLOOKUP(Loomakasvatus!E119,'M1 - LK'!$L$267:$M$269,2,FALSE),0)</f>
        <v>0</v>
      </c>
    </row>
    <row r="383" spans="2:55">
      <c r="B383" s="347" t="s">
        <v>762</v>
      </c>
      <c r="C383" s="343" t="s">
        <v>763</v>
      </c>
      <c r="D383" s="8"/>
      <c r="E383" s="938" t="e">
        <f>E375</f>
        <v>#REF!</v>
      </c>
      <c r="G383" s="811" cm="1">
        <f t="array" ref="G383:I383">G352:I352</f>
        <v>1</v>
      </c>
      <c r="H383" s="811">
        <v>1</v>
      </c>
      <c r="I383" s="811">
        <v>1</v>
      </c>
    </row>
    <row r="384" spans="2:55">
      <c r="B384" s="193" t="s">
        <v>802</v>
      </c>
      <c r="C384" s="178"/>
      <c r="D384" s="178"/>
      <c r="E384" s="194"/>
    </row>
    <row r="385" spans="2:9">
      <c r="B385" s="188" t="s">
        <v>803</v>
      </c>
      <c r="C385" s="189"/>
      <c r="D385" s="189"/>
      <c r="E385" s="190"/>
    </row>
    <row r="386" spans="2:9">
      <c r="B386" s="20" t="s">
        <v>804</v>
      </c>
      <c r="C386" t="s">
        <v>805</v>
      </c>
      <c r="E386" s="187">
        <f>SUM(G386:I386)</f>
        <v>0</v>
      </c>
      <c r="F386" t="s">
        <v>772</v>
      </c>
      <c r="G386" s="42">
        <f>G387*G388*G389/100</f>
        <v>0</v>
      </c>
      <c r="H386" s="42">
        <f t="shared" ref="H386:I386" si="216">H387*H388*H389/100</f>
        <v>0</v>
      </c>
      <c r="I386" s="42">
        <f t="shared" si="216"/>
        <v>0</v>
      </c>
    </row>
    <row r="387" spans="2:9">
      <c r="B387" s="20" t="s">
        <v>742</v>
      </c>
      <c r="C387" t="s">
        <v>743</v>
      </c>
      <c r="E387" s="938" t="e">
        <f>E374</f>
        <v>#REF!</v>
      </c>
      <c r="F387" t="s">
        <v>135</v>
      </c>
      <c r="G387" s="811" cm="1">
        <f t="array" ref="G387:I387">G342:I342</f>
        <v>0</v>
      </c>
      <c r="H387" s="811">
        <v>0</v>
      </c>
      <c r="I387" s="811">
        <v>0</v>
      </c>
    </row>
    <row r="388" spans="2:9">
      <c r="B388" s="344" t="s">
        <v>762</v>
      </c>
      <c r="C388" t="s">
        <v>763</v>
      </c>
      <c r="E388" s="938" t="e">
        <f>E375</f>
        <v>#REF!</v>
      </c>
      <c r="G388" s="811" cm="1">
        <f t="array" ref="G388:I388">G352:I352</f>
        <v>1</v>
      </c>
      <c r="H388" s="811">
        <v>1</v>
      </c>
      <c r="I388" s="811">
        <v>1</v>
      </c>
    </row>
    <row r="389" spans="2:9">
      <c r="B389" s="346" t="s">
        <v>792</v>
      </c>
      <c r="C389" s="36" t="s">
        <v>809</v>
      </c>
      <c r="D389" s="36"/>
      <c r="E389" s="940"/>
      <c r="F389" t="s">
        <v>34</v>
      </c>
      <c r="G389" s="811">
        <f>IFERROR(VLOOKUP(Loomakasvatus!C119,'M1 - LK'!$K$275:$L$277,2,FALSE),0)</f>
        <v>0</v>
      </c>
      <c r="H389" s="811">
        <f>IFERROR(VLOOKUP(Loomakasvatus!D119,'M1 - LK'!$K$275:$L$277,2,FALSE),0)</f>
        <v>0</v>
      </c>
      <c r="I389" s="811">
        <f>IFERROR(VLOOKUP(Loomakasvatus!E119,'M1 - LK'!$K$275:$L$277,2,FALSE),0)</f>
        <v>0</v>
      </c>
    </row>
    <row r="390" spans="2:9">
      <c r="B390" s="1343" t="s">
        <v>811</v>
      </c>
      <c r="C390" s="1343"/>
      <c r="D390" s="1343"/>
      <c r="E390" s="1343"/>
    </row>
    <row r="391" spans="2:9">
      <c r="B391" s="115" t="s">
        <v>813</v>
      </c>
      <c r="C391" s="203"/>
      <c r="D391" s="203"/>
      <c r="E391" s="131">
        <f>E367</f>
        <v>0</v>
      </c>
      <c r="G391" t="s">
        <v>873</v>
      </c>
    </row>
    <row r="392" spans="2:9">
      <c r="B392" s="1344" t="s">
        <v>814</v>
      </c>
      <c r="C392" s="1344"/>
      <c r="D392" s="1344"/>
      <c r="E392" s="1344"/>
    </row>
    <row r="393" spans="2:9">
      <c r="B393" s="193" t="s">
        <v>816</v>
      </c>
      <c r="C393" s="178"/>
      <c r="D393" s="178"/>
      <c r="E393" s="194"/>
    </row>
    <row r="394" spans="2:9">
      <c r="B394" s="20" t="s">
        <v>818</v>
      </c>
      <c r="E394" s="42">
        <f>SUM(G394:I394)</f>
        <v>0</v>
      </c>
      <c r="G394" s="42">
        <f>G395*(14/17)*0.01*(44/28)</f>
        <v>0</v>
      </c>
      <c r="H394" s="42">
        <f t="shared" ref="H394:I394" si="217">H395*(14/17)*0.01*(44/28)</f>
        <v>0</v>
      </c>
      <c r="I394" s="42">
        <f t="shared" si="217"/>
        <v>0</v>
      </c>
    </row>
    <row r="395" spans="2:9">
      <c r="B395" s="344" t="s">
        <v>770</v>
      </c>
      <c r="C395" t="s">
        <v>771</v>
      </c>
      <c r="E395" s="941" t="e">
        <f>E376</f>
        <v>#REF!</v>
      </c>
      <c r="G395" s="811" cm="1">
        <f t="array" ref="G395:I395">G357:I357</f>
        <v>0</v>
      </c>
      <c r="H395" s="811">
        <v>0</v>
      </c>
      <c r="I395" s="811">
        <v>0</v>
      </c>
    </row>
    <row r="396" spans="2:9">
      <c r="B396" s="193" t="s">
        <v>819</v>
      </c>
      <c r="C396" s="178"/>
      <c r="D396" s="178"/>
      <c r="E396" s="194"/>
    </row>
    <row r="397" spans="2:9">
      <c r="B397" s="20" t="s">
        <v>820</v>
      </c>
      <c r="E397" s="187">
        <f>SUM(G397:I397)</f>
        <v>0</v>
      </c>
      <c r="G397" s="42">
        <f>G398*(14/17)*0.01*(44/28)</f>
        <v>0</v>
      </c>
      <c r="H397" s="42">
        <f t="shared" ref="H397:I397" si="218">H398*(14/17)*0.01*(44/28)</f>
        <v>0</v>
      </c>
      <c r="I397" s="42">
        <f t="shared" si="218"/>
        <v>0</v>
      </c>
    </row>
    <row r="398" spans="2:9">
      <c r="B398" s="346" t="s">
        <v>789</v>
      </c>
      <c r="C398" s="36" t="s">
        <v>790</v>
      </c>
      <c r="D398" s="36"/>
      <c r="E398" s="939" t="e">
        <f>E373</f>
        <v>#REF!</v>
      </c>
      <c r="G398" s="811" cm="1">
        <f t="array" ref="G398:I398">G373:I373</f>
        <v>0</v>
      </c>
      <c r="H398" s="811">
        <v>0</v>
      </c>
      <c r="I398" s="811">
        <v>0</v>
      </c>
    </row>
    <row r="400" spans="2:9">
      <c r="B400" s="1340" t="s">
        <v>874</v>
      </c>
      <c r="C400" s="1340"/>
      <c r="D400" s="1340"/>
      <c r="E400" s="1340"/>
      <c r="F400" t="s">
        <v>806</v>
      </c>
    </row>
    <row r="401" spans="2:9">
      <c r="B401" s="193" t="s">
        <v>875</v>
      </c>
      <c r="C401" s="178"/>
      <c r="D401" s="178"/>
      <c r="E401" s="194"/>
      <c r="F401" t="s">
        <v>807</v>
      </c>
      <c r="G401">
        <f>(1-G352)*G342*'M1 - TK'!$B$16*(44/28)</f>
        <v>0</v>
      </c>
      <c r="H401">
        <f>(1-H352)*H342*'M1 - TK'!$B$16*(44/28)</f>
        <v>0</v>
      </c>
      <c r="I401">
        <f>(1-I352)*I342*'M1 - TK'!$B$16*(44/28)</f>
        <v>0</v>
      </c>
    </row>
    <row r="402" spans="2:9">
      <c r="B402" s="20" t="s">
        <v>876</v>
      </c>
      <c r="C402" t="s">
        <v>877</v>
      </c>
      <c r="E402" s="187">
        <f>IFERROR(E403*E404,0)</f>
        <v>0</v>
      </c>
      <c r="F402" t="s">
        <v>808</v>
      </c>
      <c r="G402">
        <f>(1-G352)*G342*'M1 - TK'!$B$25*'M1 - TK'!$B$20*(44/28)</f>
        <v>0</v>
      </c>
      <c r="H402">
        <f>(1-H352)*H342*'M1 - TK'!$B$25*'M1 - TK'!$B$20*(44/28)</f>
        <v>0</v>
      </c>
      <c r="I402">
        <f>(1-I352)*I342*'M1 - TK'!$B$25*'M1 - TK'!$B$20*(44/28)</f>
        <v>0</v>
      </c>
    </row>
    <row r="403" spans="2:9">
      <c r="B403" s="85" t="s">
        <v>878</v>
      </c>
      <c r="C403" t="s">
        <v>879</v>
      </c>
      <c r="E403" s="187">
        <f>'M1 - LK'!$Q$4</f>
        <v>8</v>
      </c>
      <c r="F403" t="s">
        <v>810</v>
      </c>
      <c r="G403">
        <f>(1-G352)*G342*'M1 - TK'!$B$27*'M1 - TK'!$B$21*(44/28)</f>
        <v>0</v>
      </c>
      <c r="H403">
        <f>(1-H352)*H342*'M1 - TK'!$B$27*'M1 - TK'!$B$21*(44/28)</f>
        <v>0</v>
      </c>
      <c r="I403">
        <f>(1-I352)*I342*'M1 - TK'!$B$27*'M1 - TK'!$B$21*(44/28)</f>
        <v>0</v>
      </c>
    </row>
    <row r="404" spans="2:9">
      <c r="B404" s="182" t="s">
        <v>880</v>
      </c>
      <c r="C404" s="87" t="s">
        <v>881</v>
      </c>
      <c r="D404" s="8"/>
      <c r="E404" s="185">
        <f>Loomakasvatus!$D$400</f>
        <v>0</v>
      </c>
      <c r="F404" t="s">
        <v>812</v>
      </c>
      <c r="G404">
        <f>SUM(G401:G403)</f>
        <v>0</v>
      </c>
      <c r="H404">
        <f t="shared" ref="H404:I404" si="219">SUM(H401:H403)</f>
        <v>0</v>
      </c>
      <c r="I404">
        <f t="shared" si="219"/>
        <v>0</v>
      </c>
    </row>
    <row r="405" spans="2:9">
      <c r="B405" s="193" t="s">
        <v>882</v>
      </c>
      <c r="C405" s="178"/>
      <c r="D405" s="178"/>
      <c r="E405" s="194"/>
    </row>
    <row r="406" spans="2:9">
      <c r="B406" s="20" t="s">
        <v>883</v>
      </c>
      <c r="C406" t="s">
        <v>884</v>
      </c>
      <c r="E406" s="187">
        <f>IFERROR(E408*E407,0)</f>
        <v>0</v>
      </c>
    </row>
    <row r="407" spans="2:9">
      <c r="B407" s="89" t="s">
        <v>885</v>
      </c>
      <c r="C407" t="s">
        <v>886</v>
      </c>
      <c r="E407" s="187" t="e">
        <f>HLOOKUP(Loomakasvatus!$D$402,'M1 - LK'!$R$14:$T$15,2,FALSE)</f>
        <v>#N/A</v>
      </c>
    </row>
    <row r="408" spans="2:9" ht="15" thickBot="1">
      <c r="B408" s="182" t="s">
        <v>887</v>
      </c>
      <c r="C408" s="87" t="s">
        <v>636</v>
      </c>
      <c r="D408" s="8"/>
      <c r="E408" s="185">
        <f>Loomakasvatus!$D$400</f>
        <v>0</v>
      </c>
      <c r="F408" s="1"/>
    </row>
    <row r="410" spans="2:9">
      <c r="B410" s="193" t="s">
        <v>888</v>
      </c>
      <c r="C410" s="178"/>
      <c r="D410" s="178"/>
      <c r="E410" s="194"/>
    </row>
    <row r="411" spans="2:9">
      <c r="B411" s="188" t="s">
        <v>889</v>
      </c>
      <c r="C411" s="189"/>
      <c r="D411" s="189"/>
      <c r="E411" s="190"/>
    </row>
    <row r="412" spans="2:9">
      <c r="B412" s="20" t="s">
        <v>890</v>
      </c>
      <c r="C412" t="s">
        <v>891</v>
      </c>
      <c r="E412" s="187">
        <f>E413*E414/1000*365</f>
        <v>0</v>
      </c>
    </row>
    <row r="413" spans="2:9">
      <c r="B413" s="92" t="s">
        <v>892</v>
      </c>
      <c r="C413" t="s">
        <v>893</v>
      </c>
      <c r="E413" s="187">
        <f>'M1 - LK'!$Q$28</f>
        <v>0.85</v>
      </c>
    </row>
    <row r="414" spans="2:9">
      <c r="B414" s="182" t="s">
        <v>894</v>
      </c>
      <c r="C414" s="87" t="s">
        <v>895</v>
      </c>
      <c r="D414" s="8"/>
      <c r="E414" s="185">
        <f>IFERROR(Loomakasvatus!$D$401/Loomakasvatus!$D$400,0)</f>
        <v>0</v>
      </c>
    </row>
    <row r="415" spans="2:9">
      <c r="B415" s="193" t="s">
        <v>896</v>
      </c>
      <c r="C415" s="178"/>
      <c r="D415" s="178"/>
      <c r="E415" s="194"/>
    </row>
    <row r="416" spans="2:9">
      <c r="B416" s="188" t="s">
        <v>897</v>
      </c>
      <c r="C416" s="189"/>
      <c r="D416" s="189"/>
      <c r="E416" s="190"/>
    </row>
    <row r="417" spans="2:5">
      <c r="B417" s="20" t="s">
        <v>898</v>
      </c>
      <c r="C417" t="s">
        <v>899</v>
      </c>
      <c r="E417" s="187">
        <f>IFERROR(E418*E419*E420*E421*(44/28),0)</f>
        <v>0</v>
      </c>
    </row>
    <row r="418" spans="2:5">
      <c r="B418" s="32" t="s">
        <v>880</v>
      </c>
      <c r="C418" s="33" t="s">
        <v>900</v>
      </c>
      <c r="E418" s="131">
        <f>E404</f>
        <v>0</v>
      </c>
    </row>
    <row r="419" spans="2:5">
      <c r="B419" s="92" t="s">
        <v>890</v>
      </c>
      <c r="C419" t="s">
        <v>901</v>
      </c>
      <c r="E419" s="187">
        <f>E412</f>
        <v>0</v>
      </c>
    </row>
    <row r="420" spans="2:5">
      <c r="B420" s="32" t="s">
        <v>902</v>
      </c>
      <c r="C420" s="33" t="s">
        <v>903</v>
      </c>
      <c r="E420" s="131">
        <v>1</v>
      </c>
    </row>
    <row r="421" spans="2:5">
      <c r="B421" s="92" t="s">
        <v>904</v>
      </c>
      <c r="C421" t="s">
        <v>905</v>
      </c>
      <c r="E421" s="187" t="e">
        <f>VLOOKUP(Loomakasvatus!$D$403,'M1 - LK'!$O$39:$P$52,2,FALSE)</f>
        <v>#N/A</v>
      </c>
    </row>
    <row r="422" spans="2:5">
      <c r="B422" s="32" t="s">
        <v>906</v>
      </c>
      <c r="C422" s="33" t="s">
        <v>907</v>
      </c>
      <c r="E422" s="131" t="e">
        <f>VLOOKUP(Loomakasvatus!$D$403,'M1 - LK'!$O$39:$P$52,2,FALSE)</f>
        <v>#N/A</v>
      </c>
    </row>
    <row r="423" spans="2:5">
      <c r="B423" s="193" t="s">
        <v>908</v>
      </c>
      <c r="C423" s="178"/>
      <c r="D423" s="178"/>
      <c r="E423" s="194"/>
    </row>
    <row r="424" spans="2:5">
      <c r="B424" s="188" t="s">
        <v>909</v>
      </c>
      <c r="C424" s="189"/>
      <c r="D424" s="189"/>
      <c r="E424" s="190"/>
    </row>
    <row r="425" spans="2:5">
      <c r="B425" s="20" t="s">
        <v>910</v>
      </c>
      <c r="C425" t="s">
        <v>911</v>
      </c>
      <c r="E425" s="187">
        <f>E426*E427*E428*E429</f>
        <v>0</v>
      </c>
    </row>
    <row r="426" spans="2:5">
      <c r="B426" s="32" t="s">
        <v>880</v>
      </c>
      <c r="C426" s="33" t="s">
        <v>900</v>
      </c>
      <c r="E426" s="131">
        <f>E418</f>
        <v>0</v>
      </c>
    </row>
    <row r="427" spans="2:5">
      <c r="B427" s="85" t="s">
        <v>890</v>
      </c>
      <c r="C427" t="s">
        <v>912</v>
      </c>
      <c r="E427" s="187">
        <f>E412</f>
        <v>0</v>
      </c>
    </row>
    <row r="428" spans="2:5">
      <c r="B428" s="32" t="s">
        <v>902</v>
      </c>
      <c r="C428" s="33" t="s">
        <v>903</v>
      </c>
      <c r="E428" s="131">
        <v>1</v>
      </c>
    </row>
    <row r="429" spans="2:5">
      <c r="B429" s="85" t="s">
        <v>913</v>
      </c>
      <c r="C429" t="s">
        <v>914</v>
      </c>
      <c r="E429" s="187">
        <f>'M1 - LK'!$P$62</f>
        <v>25</v>
      </c>
    </row>
    <row r="430" spans="2:5">
      <c r="B430" s="193" t="s">
        <v>915</v>
      </c>
      <c r="C430" s="178"/>
      <c r="D430" s="178"/>
      <c r="E430" s="194"/>
    </row>
    <row r="431" spans="2:5">
      <c r="B431" s="20" t="s">
        <v>916</v>
      </c>
      <c r="C431" t="s">
        <v>917</v>
      </c>
      <c r="E431" s="187">
        <f>IFERROR(E432*E433*(44/28),0)</f>
        <v>0</v>
      </c>
    </row>
    <row r="432" spans="2:5">
      <c r="B432" s="85" t="s">
        <v>910</v>
      </c>
      <c r="C432" t="s">
        <v>911</v>
      </c>
      <c r="E432" s="187">
        <f>E425</f>
        <v>0</v>
      </c>
    </row>
    <row r="433" spans="2:5">
      <c r="B433" s="58" t="s">
        <v>704</v>
      </c>
      <c r="C433" s="36" t="s">
        <v>918</v>
      </c>
      <c r="D433" s="36"/>
      <c r="E433" s="200">
        <f>'M1 - TK'!$B$20</f>
        <v>0.01</v>
      </c>
    </row>
    <row r="434" spans="2:5">
      <c r="B434" s="94" t="s">
        <v>938</v>
      </c>
      <c r="C434" s="53"/>
      <c r="D434" s="53"/>
      <c r="E434" s="441">
        <f>Loomakasvatus!$D$404/365</f>
        <v>0</v>
      </c>
    </row>
    <row r="436" spans="2:5">
      <c r="B436" s="1344" t="s">
        <v>919</v>
      </c>
      <c r="C436" s="1344"/>
      <c r="D436" s="1344"/>
      <c r="E436" s="1344"/>
    </row>
    <row r="437" spans="2:5">
      <c r="B437" s="193" t="s">
        <v>920</v>
      </c>
      <c r="C437" s="178"/>
      <c r="D437" s="178"/>
      <c r="E437" s="194"/>
    </row>
    <row r="438" spans="2:5">
      <c r="B438" s="188" t="s">
        <v>889</v>
      </c>
      <c r="C438" s="189"/>
      <c r="D438" s="189"/>
      <c r="E438" s="190"/>
    </row>
    <row r="439" spans="2:5">
      <c r="B439" s="20" t="s">
        <v>890</v>
      </c>
      <c r="C439" t="s">
        <v>891</v>
      </c>
      <c r="E439" s="187">
        <f>E440*E441/1000*365</f>
        <v>0</v>
      </c>
    </row>
    <row r="440" spans="2:5">
      <c r="B440" s="85" t="s">
        <v>892</v>
      </c>
      <c r="C440" t="s">
        <v>893</v>
      </c>
      <c r="E440" s="187">
        <f>'M1 - LK'!Q86</f>
        <v>0.83</v>
      </c>
    </row>
    <row r="441" spans="2:5">
      <c r="B441" s="182" t="s">
        <v>894</v>
      </c>
      <c r="C441" s="49" t="s">
        <v>895</v>
      </c>
      <c r="D441" s="8"/>
      <c r="E441" s="185">
        <f>Loomakasvatus!D488</f>
        <v>0</v>
      </c>
    </row>
    <row r="442" spans="2:5">
      <c r="B442" s="968" t="s">
        <v>921</v>
      </c>
      <c r="C442" s="969"/>
      <c r="D442" s="969"/>
      <c r="E442" s="974"/>
    </row>
    <row r="443" spans="2:5">
      <c r="B443" s="975" t="s">
        <v>922</v>
      </c>
      <c r="C443" s="976"/>
      <c r="D443" s="976"/>
      <c r="E443" s="970"/>
    </row>
    <row r="444" spans="2:5">
      <c r="B444" s="971" t="s">
        <v>923</v>
      </c>
      <c r="C444" s="846" t="s">
        <v>924</v>
      </c>
      <c r="D444" s="846"/>
      <c r="E444" s="972" t="e">
        <f>E445*(1-(E446/100))*(1-E447/100)</f>
        <v>#REF!</v>
      </c>
    </row>
    <row r="445" spans="2:5">
      <c r="B445" s="977" t="s">
        <v>925</v>
      </c>
      <c r="C445" s="978" t="s">
        <v>926</v>
      </c>
      <c r="D445" s="846"/>
      <c r="E445" s="973" t="e">
        <f>Loomakasvatus!#REF!</f>
        <v>#REF!</v>
      </c>
    </row>
    <row r="446" spans="2:5">
      <c r="B446" s="977" t="s">
        <v>927</v>
      </c>
      <c r="C446" s="978" t="s">
        <v>928</v>
      </c>
      <c r="D446" s="846"/>
      <c r="E446" s="973" t="e">
        <f>Loomakasvatus!#REF!</f>
        <v>#REF!</v>
      </c>
    </row>
    <row r="447" spans="2:5">
      <c r="B447" s="979" t="s">
        <v>929</v>
      </c>
      <c r="C447" s="980" t="s">
        <v>930</v>
      </c>
      <c r="D447" s="981"/>
      <c r="E447" s="982" t="e">
        <f>Loomakasvatus!#REF!</f>
        <v>#REF!</v>
      </c>
    </row>
    <row r="448" spans="2:5">
      <c r="B448" s="193" t="s">
        <v>931</v>
      </c>
      <c r="C448" s="178"/>
      <c r="D448" s="178"/>
      <c r="E448" s="194"/>
    </row>
    <row r="449" spans="2:5">
      <c r="B449" s="188" t="s">
        <v>932</v>
      </c>
      <c r="C449" s="189"/>
      <c r="D449" s="189"/>
      <c r="E449" s="190"/>
    </row>
    <row r="450" spans="2:5">
      <c r="B450" s="20" t="s">
        <v>933</v>
      </c>
      <c r="C450" t="s">
        <v>934</v>
      </c>
      <c r="E450" s="187">
        <f>IFERROR(E451*E452,0)</f>
        <v>0</v>
      </c>
    </row>
    <row r="451" spans="2:5">
      <c r="B451" s="20" t="s">
        <v>880</v>
      </c>
      <c r="C451" t="s">
        <v>900</v>
      </c>
      <c r="E451" s="187">
        <f>E464</f>
        <v>0</v>
      </c>
    </row>
    <row r="452" spans="2:5">
      <c r="B452" s="344" t="s">
        <v>878</v>
      </c>
      <c r="C452" t="s">
        <v>935</v>
      </c>
      <c r="E452" s="187">
        <v>0.03</v>
      </c>
    </row>
    <row r="453" spans="2:5">
      <c r="B453" s="344"/>
      <c r="E453" s="187"/>
    </row>
    <row r="454" spans="2:5">
      <c r="B454" s="188" t="s">
        <v>896</v>
      </c>
      <c r="C454" s="189"/>
      <c r="D454" s="189"/>
      <c r="E454" s="190"/>
    </row>
    <row r="455" spans="2:5">
      <c r="B455" s="188" t="s">
        <v>897</v>
      </c>
      <c r="C455" s="189"/>
      <c r="D455" s="189"/>
      <c r="E455" s="190"/>
    </row>
    <row r="456" spans="2:5">
      <c r="B456" s="115" t="s">
        <v>898</v>
      </c>
      <c r="C456" s="31" t="s">
        <v>899</v>
      </c>
      <c r="E456" s="187">
        <f>IFERROR(E457*E458*E459*E460*44/28,0)</f>
        <v>0</v>
      </c>
    </row>
    <row r="457" spans="2:5">
      <c r="B457" s="115" t="s">
        <v>880</v>
      </c>
      <c r="C457" s="31" t="s">
        <v>900</v>
      </c>
      <c r="E457" s="131">
        <f>Loomakasvatus!C488</f>
        <v>0</v>
      </c>
    </row>
    <row r="458" spans="2:5">
      <c r="B458" s="344" t="s">
        <v>890</v>
      </c>
      <c r="C458" s="31" t="s">
        <v>901</v>
      </c>
      <c r="E458" s="187">
        <f>E439</f>
        <v>0</v>
      </c>
    </row>
    <row r="459" spans="2:5">
      <c r="B459" s="115" t="s">
        <v>902</v>
      </c>
      <c r="C459" s="31" t="s">
        <v>903</v>
      </c>
      <c r="E459" s="351">
        <f>1-E472</f>
        <v>1</v>
      </c>
    </row>
    <row r="460" spans="2:5">
      <c r="B460" s="344" t="s">
        <v>904</v>
      </c>
      <c r="C460" s="31" t="s">
        <v>905</v>
      </c>
      <c r="E460" s="187" t="e">
        <f>VLOOKUP(Loomakasvatus!D491,'M1 - LK'!P115:Q117,2,FALSE)</f>
        <v>#N/A</v>
      </c>
    </row>
    <row r="461" spans="2:5">
      <c r="B461" s="188" t="s">
        <v>936</v>
      </c>
      <c r="C461" s="189"/>
      <c r="D461" s="189"/>
      <c r="E461" s="190"/>
    </row>
    <row r="462" spans="2:5">
      <c r="B462" s="188" t="s">
        <v>909</v>
      </c>
      <c r="C462" s="189"/>
      <c r="D462" s="189"/>
      <c r="E462" s="190"/>
    </row>
    <row r="463" spans="2:5">
      <c r="B463" s="115" t="s">
        <v>910</v>
      </c>
      <c r="C463" s="31" t="s">
        <v>911</v>
      </c>
      <c r="E463" s="187" t="e">
        <f>E464*E465*E466*E467</f>
        <v>#N/A</v>
      </c>
    </row>
    <row r="464" spans="2:5">
      <c r="B464" s="115" t="s">
        <v>880</v>
      </c>
      <c r="C464" s="31" t="s">
        <v>900</v>
      </c>
      <c r="E464" s="131">
        <f>E457</f>
        <v>0</v>
      </c>
    </row>
    <row r="465" spans="2:5">
      <c r="B465" s="344" t="s">
        <v>890</v>
      </c>
      <c r="C465" s="31" t="s">
        <v>912</v>
      </c>
      <c r="E465" s="187">
        <f>E458</f>
        <v>0</v>
      </c>
    </row>
    <row r="466" spans="2:5">
      <c r="B466" s="115" t="s">
        <v>902</v>
      </c>
      <c r="C466" s="31" t="s">
        <v>903</v>
      </c>
      <c r="E466" s="131">
        <f>E459</f>
        <v>1</v>
      </c>
    </row>
    <row r="467" spans="2:5">
      <c r="B467" s="344" t="s">
        <v>913</v>
      </c>
      <c r="C467" s="31" t="s">
        <v>937</v>
      </c>
      <c r="E467" s="187" t="e">
        <f>VLOOKUP(Loomakasvatus!D491,'M1 - LK'!R129:S131,2,FALSE)</f>
        <v>#N/A</v>
      </c>
    </row>
    <row r="468" spans="2:5">
      <c r="B468" s="188" t="s">
        <v>915</v>
      </c>
      <c r="C468" s="189"/>
      <c r="D468" s="189"/>
      <c r="E468" s="190"/>
    </row>
    <row r="469" spans="2:5">
      <c r="B469" s="20" t="s">
        <v>916</v>
      </c>
      <c r="C469" t="s">
        <v>917</v>
      </c>
      <c r="E469" s="187">
        <f>IFERROR(E470*E471*44/28,0)</f>
        <v>0</v>
      </c>
    </row>
    <row r="470" spans="2:5">
      <c r="B470" s="85" t="s">
        <v>910</v>
      </c>
      <c r="C470" t="s">
        <v>911</v>
      </c>
      <c r="E470" s="187" t="e">
        <f>E463</f>
        <v>#N/A</v>
      </c>
    </row>
    <row r="471" spans="2:5">
      <c r="B471" s="183" t="s">
        <v>704</v>
      </c>
      <c r="C471" s="8" t="s">
        <v>918</v>
      </c>
      <c r="D471" s="8"/>
      <c r="E471" s="352">
        <f>'M1 - TK'!B20</f>
        <v>0.01</v>
      </c>
    </row>
    <row r="472" spans="2:5">
      <c r="B472" s="58" t="s">
        <v>938</v>
      </c>
      <c r="C472" s="36"/>
      <c r="D472" s="36"/>
      <c r="E472" s="37">
        <f>Loomakasvatus!D492/365</f>
        <v>0</v>
      </c>
    </row>
    <row r="473" spans="2:5">
      <c r="B473" s="1344" t="s">
        <v>939</v>
      </c>
      <c r="C473" s="1344"/>
      <c r="D473" s="1344"/>
      <c r="E473" s="1344"/>
    </row>
    <row r="474" spans="2:5">
      <c r="B474" s="193" t="s">
        <v>920</v>
      </c>
      <c r="C474" s="178"/>
      <c r="D474" s="178"/>
      <c r="E474" s="194"/>
    </row>
    <row r="475" spans="2:5">
      <c r="B475" s="188" t="s">
        <v>889</v>
      </c>
      <c r="C475" s="189"/>
      <c r="D475" s="189"/>
      <c r="E475" s="190"/>
    </row>
    <row r="476" spans="2:5">
      <c r="B476" s="20" t="s">
        <v>890</v>
      </c>
      <c r="C476" t="s">
        <v>891</v>
      </c>
      <c r="E476" s="187">
        <f>E477*E478/1000*365</f>
        <v>0</v>
      </c>
    </row>
    <row r="477" spans="2:5">
      <c r="B477" s="85" t="s">
        <v>892</v>
      </c>
      <c r="C477" t="s">
        <v>893</v>
      </c>
      <c r="E477" s="187">
        <f>'M1 - LK'!P85</f>
        <v>0.74</v>
      </c>
    </row>
    <row r="478" spans="2:5">
      <c r="B478" s="182" t="s">
        <v>894</v>
      </c>
      <c r="C478" s="49" t="s">
        <v>895</v>
      </c>
      <c r="D478" s="8"/>
      <c r="E478" s="185">
        <f>Loomakasvatus!D576</f>
        <v>0</v>
      </c>
    </row>
    <row r="479" spans="2:5">
      <c r="B479" s="968" t="s">
        <v>921</v>
      </c>
      <c r="C479" s="969"/>
      <c r="D479" s="969"/>
      <c r="E479" s="974"/>
    </row>
    <row r="480" spans="2:5">
      <c r="B480" s="975" t="s">
        <v>922</v>
      </c>
      <c r="C480" s="976"/>
      <c r="D480" s="976"/>
      <c r="E480" s="970"/>
    </row>
    <row r="481" spans="2:5">
      <c r="B481" s="971" t="s">
        <v>923</v>
      </c>
      <c r="C481" s="846" t="s">
        <v>924</v>
      </c>
      <c r="D481" s="846"/>
      <c r="E481" s="972" t="e">
        <f>E482*(1-(E483/100))*(1-E484/100)</f>
        <v>#REF!</v>
      </c>
    </row>
    <row r="482" spans="2:5">
      <c r="B482" s="977" t="s">
        <v>925</v>
      </c>
      <c r="C482" s="978" t="s">
        <v>926</v>
      </c>
      <c r="D482" s="846"/>
      <c r="E482" s="973" t="e">
        <f>Loomakasvatus!#REF!</f>
        <v>#REF!</v>
      </c>
    </row>
    <row r="483" spans="2:5">
      <c r="B483" s="977" t="s">
        <v>927</v>
      </c>
      <c r="C483" s="978" t="s">
        <v>928</v>
      </c>
      <c r="D483" s="846"/>
      <c r="E483" s="973" t="e">
        <f>Loomakasvatus!#REF!</f>
        <v>#REF!</v>
      </c>
    </row>
    <row r="484" spans="2:5">
      <c r="B484" s="979" t="s">
        <v>929</v>
      </c>
      <c r="C484" s="980" t="s">
        <v>930</v>
      </c>
      <c r="D484" s="981"/>
      <c r="E484" s="982" t="e">
        <f>Loomakasvatus!#REF!</f>
        <v>#REF!</v>
      </c>
    </row>
    <row r="485" spans="2:5">
      <c r="B485" s="193" t="s">
        <v>931</v>
      </c>
      <c r="C485" s="178"/>
      <c r="D485" s="178"/>
      <c r="E485" s="194"/>
    </row>
    <row r="486" spans="2:5">
      <c r="B486" s="188" t="s">
        <v>932</v>
      </c>
      <c r="C486" s="189"/>
      <c r="D486" s="189"/>
      <c r="E486" s="190"/>
    </row>
    <row r="487" spans="2:5">
      <c r="B487" s="20" t="s">
        <v>933</v>
      </c>
      <c r="C487" t="s">
        <v>934</v>
      </c>
      <c r="E487" s="187">
        <f>IFERROR(E488*E489,0)</f>
        <v>0</v>
      </c>
    </row>
    <row r="488" spans="2:5">
      <c r="B488" s="20" t="s">
        <v>880</v>
      </c>
      <c r="C488" t="s">
        <v>900</v>
      </c>
      <c r="E488" s="187">
        <f>E501</f>
        <v>0</v>
      </c>
    </row>
    <row r="489" spans="2:5">
      <c r="B489" s="344" t="s">
        <v>878</v>
      </c>
      <c r="C489" t="s">
        <v>935</v>
      </c>
      <c r="E489" s="187">
        <v>0.09</v>
      </c>
    </row>
    <row r="490" spans="2:5">
      <c r="B490" s="344"/>
      <c r="E490" s="187"/>
    </row>
    <row r="491" spans="2:5">
      <c r="B491" s="188" t="s">
        <v>896</v>
      </c>
      <c r="C491" s="189"/>
      <c r="D491" s="189"/>
      <c r="E491" s="190"/>
    </row>
    <row r="492" spans="2:5">
      <c r="B492" s="188" t="s">
        <v>897</v>
      </c>
      <c r="C492" s="189"/>
      <c r="D492" s="189"/>
      <c r="E492" s="190"/>
    </row>
    <row r="493" spans="2:5">
      <c r="B493" s="115" t="s">
        <v>898</v>
      </c>
      <c r="C493" s="31" t="s">
        <v>899</v>
      </c>
      <c r="E493" s="187">
        <f>IFERROR(E494*E495*E496*E497*44/28,0)</f>
        <v>0</v>
      </c>
    </row>
    <row r="494" spans="2:5">
      <c r="B494" s="115" t="s">
        <v>880</v>
      </c>
      <c r="C494" s="31" t="s">
        <v>900</v>
      </c>
      <c r="E494" s="131">
        <f>Loomakasvatus!C576</f>
        <v>0</v>
      </c>
    </row>
    <row r="495" spans="2:5">
      <c r="B495" s="344" t="s">
        <v>890</v>
      </c>
      <c r="C495" s="31" t="s">
        <v>901</v>
      </c>
      <c r="E495" s="187">
        <f>E476</f>
        <v>0</v>
      </c>
    </row>
    <row r="496" spans="2:5">
      <c r="B496" s="115" t="s">
        <v>902</v>
      </c>
      <c r="C496" s="31" t="s">
        <v>903</v>
      </c>
      <c r="E496" s="351">
        <f>1-E509</f>
        <v>1</v>
      </c>
    </row>
    <row r="497" spans="2:5">
      <c r="B497" s="344" t="s">
        <v>904</v>
      </c>
      <c r="C497" s="31" t="s">
        <v>905</v>
      </c>
      <c r="E497" s="187" t="e">
        <f>VLOOKUP(Loomakasvatus!D579,'M1 - LK'!P115:Q117,2,FALSE)</f>
        <v>#N/A</v>
      </c>
    </row>
    <row r="498" spans="2:5">
      <c r="B498" s="188" t="s">
        <v>936</v>
      </c>
      <c r="C498" s="189"/>
      <c r="D498" s="189"/>
      <c r="E498" s="190"/>
    </row>
    <row r="499" spans="2:5">
      <c r="B499" s="188" t="s">
        <v>909</v>
      </c>
      <c r="C499" s="189"/>
      <c r="D499" s="189"/>
      <c r="E499" s="190"/>
    </row>
    <row r="500" spans="2:5">
      <c r="B500" s="115" t="s">
        <v>910</v>
      </c>
      <c r="C500" s="31" t="s">
        <v>911</v>
      </c>
      <c r="E500" s="187" t="e">
        <f>E501*E502*E503*E504</f>
        <v>#N/A</v>
      </c>
    </row>
    <row r="501" spans="2:5">
      <c r="B501" s="115" t="s">
        <v>880</v>
      </c>
      <c r="C501" s="31" t="s">
        <v>900</v>
      </c>
      <c r="E501" s="131">
        <f>E494</f>
        <v>0</v>
      </c>
    </row>
    <row r="502" spans="2:5">
      <c r="B502" s="344" t="s">
        <v>890</v>
      </c>
      <c r="C502" s="31" t="s">
        <v>912</v>
      </c>
      <c r="E502" s="187">
        <f>E495</f>
        <v>0</v>
      </c>
    </row>
    <row r="503" spans="2:5">
      <c r="B503" s="115" t="s">
        <v>902</v>
      </c>
      <c r="C503" s="31" t="s">
        <v>903</v>
      </c>
      <c r="E503" s="131">
        <f>E496</f>
        <v>1</v>
      </c>
    </row>
    <row r="504" spans="2:5">
      <c r="B504" s="344" t="s">
        <v>913</v>
      </c>
      <c r="C504" s="31" t="s">
        <v>937</v>
      </c>
      <c r="E504" s="187" t="e">
        <f>VLOOKUP(Loomakasvatus!D579,'M1 - LK'!R129:S131,2,FALSE)</f>
        <v>#N/A</v>
      </c>
    </row>
    <row r="505" spans="2:5">
      <c r="B505" s="188" t="s">
        <v>915</v>
      </c>
      <c r="C505" s="189"/>
      <c r="D505" s="189"/>
      <c r="E505" s="190"/>
    </row>
    <row r="506" spans="2:5">
      <c r="B506" s="20" t="s">
        <v>916</v>
      </c>
      <c r="C506" t="s">
        <v>917</v>
      </c>
      <c r="E506" s="187">
        <f>IFERROR(E507*E508*44/28,0)</f>
        <v>0</v>
      </c>
    </row>
    <row r="507" spans="2:5">
      <c r="B507" s="85" t="s">
        <v>910</v>
      </c>
      <c r="C507" t="s">
        <v>911</v>
      </c>
      <c r="E507" s="187" t="e">
        <f>E500</f>
        <v>#N/A</v>
      </c>
    </row>
    <row r="508" spans="2:5">
      <c r="B508" s="183" t="s">
        <v>704</v>
      </c>
      <c r="C508" s="8" t="s">
        <v>918</v>
      </c>
      <c r="D508" s="8"/>
      <c r="E508" s="352">
        <f>'M1 - TK'!B20</f>
        <v>0.01</v>
      </c>
    </row>
    <row r="509" spans="2:5">
      <c r="B509" s="58" t="s">
        <v>938</v>
      </c>
      <c r="C509" s="36"/>
      <c r="D509" s="36"/>
      <c r="E509" s="37">
        <f>Loomakasvatus!D580/365</f>
        <v>0</v>
      </c>
    </row>
  </sheetData>
  <sheetProtection algorithmName="SHA-512" hashValue="F2bm17I5VjNP4TMiVCPGPbfwdeCl/D7dhaBU1I5muIV6LDKl7M3NOtxRO3d0oRGs6h1yzj0CSSHKXR3sNMheAA==" saltValue="UQDtc4BAvqdBRki4++gYUw==" spinCount="100000" sheet="1" objects="1" scenarios="1"/>
  <mergeCells count="32">
    <mergeCell ref="B473:E473"/>
    <mergeCell ref="AP5:AR5"/>
    <mergeCell ref="E5:X5"/>
    <mergeCell ref="B436:E436"/>
    <mergeCell ref="B324:E324"/>
    <mergeCell ref="B400:E400"/>
    <mergeCell ref="B344:E344"/>
    <mergeCell ref="B349:E349"/>
    <mergeCell ref="B370:E370"/>
    <mergeCell ref="B390:E390"/>
    <mergeCell ref="B392:E392"/>
    <mergeCell ref="B273:E273"/>
    <mergeCell ref="B293:E293"/>
    <mergeCell ref="B313:E313"/>
    <mergeCell ref="B315:E315"/>
    <mergeCell ref="B323:E323"/>
    <mergeCell ref="B161:E161"/>
    <mergeCell ref="B163:E163"/>
    <mergeCell ref="B243:E243"/>
    <mergeCell ref="B268:E268"/>
    <mergeCell ref="B171:E171"/>
    <mergeCell ref="B186:E186"/>
    <mergeCell ref="B191:E191"/>
    <mergeCell ref="B211:E211"/>
    <mergeCell ref="B231:E231"/>
    <mergeCell ref="B233:E233"/>
    <mergeCell ref="B141:E141"/>
    <mergeCell ref="B121:E121"/>
    <mergeCell ref="B101:E101"/>
    <mergeCell ref="B116:E116"/>
    <mergeCell ref="A57:A60"/>
    <mergeCell ref="A61:A64"/>
  </mergeCells>
  <hyperlinks>
    <hyperlink ref="B40" location="Allokatsioonikoefitsiendid!A2" display="N ag (pgr)" xr:uid="{5C5BD965-3F40-4BA0-9F56-72183588A9EC}"/>
    <hyperlink ref="B42:B43" location="Allokatsioonikoefitsiendid!A2" display="RS (pgr)" xr:uid="{AD532955-86E3-4C63-8659-811302AAEEAF}"/>
    <hyperlink ref="B57:B61" location="'Otsesed N2O emissioonid'!H26" display="F prp, cpp" xr:uid="{01F27458-14CB-4112-82B7-A9B1BD62381B}"/>
    <hyperlink ref="B120" location="'Atm õhu kaitse määrus'!T15" display="qN" xr:uid="{6BE6CF5F-1ECC-4FF4-8243-8567CB495177}"/>
    <hyperlink ref="B139" location="'Atm õhu kaitse määrus'!K69" display="qCH4laut" xr:uid="{3D47A8E9-5121-42C6-9D61-6118B72DC6DD}"/>
    <hyperlink ref="B134" location="'Atm õhu kaitse määrus'!A58" display="sk" xr:uid="{D81C6D4D-E603-4F4B-BB30-7D0F18276095}"/>
    <hyperlink ref="B138" location="'Atm õhu kaitse määrus'!K19" display="L" xr:uid="{DDFA7431-5820-4943-A4D5-8FFFD6CABB6D}"/>
    <hyperlink ref="B148" location="'Atm õhu kaitse määrus'!K82" display="ksõnnikuhoidla" xr:uid="{9C94F842-0AE1-4E6F-A758-3C6A55E3A051}"/>
    <hyperlink ref="B153" location="'Atm õhu kaitse määrus'!K92" display="qCH4sõnnikuhoidla" xr:uid="{B139A2E1-4666-45DB-BD0B-403145B290CB}"/>
    <hyperlink ref="B160" location="'Atm õhu kaitse määrus'!K103" display="ksõnnikuhoidla" xr:uid="{8E033178-E408-49AE-9472-C9543D1EF47D}"/>
    <hyperlink ref="B147" location="'Atm õhu kaitse määrus'!A66" display="MNH3laut" xr:uid="{13409D7D-53B5-4B2D-A7D2-D56529D26A12}"/>
    <hyperlink ref="B146" location="'Atm õhu kaitse määrus'!A58" display="sk" xr:uid="{0B527C3E-0912-4EA3-8A54-9E64238C519A}"/>
    <hyperlink ref="B159" location="'Atm õhu kaitse määrus'!A58" display="sk" xr:uid="{7A245C3C-D571-4B1C-9DA9-12A8690A2D81}"/>
    <hyperlink ref="B152" location="'Atm õhu kaitse määrus'!K19" display="L" xr:uid="{4428EEC4-DBA7-437E-816C-FEC0DC741299}"/>
    <hyperlink ref="B154" location="'Atm õhu kaitse määrus'!A58" display="sk" xr:uid="{6EA3E998-7364-4EB1-A07B-A4FB75456A48}"/>
    <hyperlink ref="B166" location="'Atm õhu kaitse määrus'!A66" display="MNH3laut" xr:uid="{11DA508E-425F-446A-839D-9E7FAC035854}"/>
    <hyperlink ref="B169" location="'Atm õhu kaitse määrus'!A86" display="MNH3sõnnikuhoidla" xr:uid="{1813376B-A945-49F2-A371-CB9B3BDAE986}"/>
    <hyperlink ref="B258" location="'Atm õhu kaitse määrus'!U5" display="mNjuurdekasv" xr:uid="{83A47DEA-2C3A-494F-A474-BE0E03BAAA3D}"/>
    <hyperlink ref="B263" location="'Atm õhu kaitse määrus'!U6" display="mNloode" xr:uid="{2B9236E1-9E79-45F4-883F-20FEAEB6E2B4}"/>
    <hyperlink ref="B272" location="'Atm õhu kaitse määrus'!T15" display="qN" xr:uid="{7F1411D7-8116-4640-ABC7-E5379B244DAE}"/>
    <hyperlink ref="B291" location="'Atm õhu kaitse määrus'!K69" display="qCH4laut" xr:uid="{63480239-ED37-4148-8E15-2CA333AF6888}"/>
    <hyperlink ref="B286" location="'Atm õhu kaitse määrus'!A58" display="sk" xr:uid="{720C5BA2-106C-4E06-90A7-2B71D4F16A8A}"/>
    <hyperlink ref="B290" location="'Atm õhu kaitse määrus'!K19" display="L" xr:uid="{D1177548-928B-455B-BF23-DEA4C813EC1A}"/>
    <hyperlink ref="B300" location="'Atm õhu kaitse määrus'!K82" display="ksõnnikuhoidla" xr:uid="{6B5323E9-D7B8-4680-AF60-B13B37701F80}"/>
    <hyperlink ref="B305" location="'Atm õhu kaitse määrus'!K92" display="qCH4sõnnikuhoidla" xr:uid="{B8454975-53A9-4F90-B3EB-DB654036210D}"/>
    <hyperlink ref="B312" location="'Atm õhu kaitse määrus'!K103" display="ksõnnikuhoidla" xr:uid="{F99DCEFE-D4A5-4080-A0C0-12C34C3CE092}"/>
    <hyperlink ref="B299" location="'Atm õhu kaitse määrus'!A66" display="MNH3laut" xr:uid="{6D7A7E2C-7265-464A-AFFA-ADB42FE0E280}"/>
    <hyperlink ref="B298" location="'Atm õhu kaitse määrus'!A58" display="sk" xr:uid="{9A885F3B-11BF-47B2-A735-5AD89D8EDECE}"/>
    <hyperlink ref="B311" location="'Atm õhu kaitse määrus'!A58" display="sk" xr:uid="{4F7C08E8-100C-4D47-9074-E4D718CF704B}"/>
    <hyperlink ref="B304" location="'Atm õhu kaitse määrus'!K19" display="L" xr:uid="{DE880D76-BE79-44BF-B2E7-D22BEEA3C78D}"/>
    <hyperlink ref="B306" location="'Atm õhu kaitse määrus'!A58" display="sk" xr:uid="{AA7AAF57-271D-4A0A-9612-68582F14DC62}"/>
    <hyperlink ref="B318" location="'Atm õhu kaitse määrus'!A66" display="MNH3laut" xr:uid="{691AB39C-D3A4-488D-A510-4AAE906AF8CC}"/>
    <hyperlink ref="B321" location="'Atm õhu kaitse määrus'!A86" display="MNH3sõnnikuhoidla" xr:uid="{3C6EFB7C-A1E6-4CE0-93CC-19274CAA8371}"/>
    <hyperlink ref="B348" location="'Atm õhu kaitse määrus'!T15" display="qN" xr:uid="{2AD79BBB-FA7E-4041-BCBE-65251088A701}"/>
    <hyperlink ref="B368" location="'Atm õhu kaitse määrus'!K69" display="qCH4laut" xr:uid="{A139DC3F-181E-4A34-859B-9F2E68994416}"/>
    <hyperlink ref="B363" location="'Atm õhu kaitse määrus'!A58" display="sk" xr:uid="{39D20D10-4CE2-426D-AF65-DEE2766ED052}"/>
    <hyperlink ref="B367" location="'Atm õhu kaitse määrus'!K19" display="L" xr:uid="{DE667786-F549-467B-B16E-902090C7824C}"/>
    <hyperlink ref="B377" location="'Atm õhu kaitse määrus'!K82" display="ksõnnikuhoidla" xr:uid="{4C8C3EF2-1CBC-472E-B19D-A35B5743B94C}"/>
    <hyperlink ref="B382" location="'Atm õhu kaitse määrus'!K92" display="qCH4sõnnikuhoidla" xr:uid="{75997A52-2F14-4568-890D-F3716F5F8862}"/>
    <hyperlink ref="B389" location="'Atm õhu kaitse määrus'!K103" display="ksõnnikuhoidla" xr:uid="{062A8956-C190-45D9-A9AE-1BB6E8D9268E}"/>
    <hyperlink ref="B376" location="'Atm õhu kaitse määrus'!A66" display="MNH3laut" xr:uid="{C502E915-2A5E-48EF-96F8-B4BA4C6E3367}"/>
    <hyperlink ref="B375" location="'Atm õhu kaitse määrus'!A58" display="sk" xr:uid="{BC5BC807-55A7-4577-8C09-3E6ACE1AFF08}"/>
    <hyperlink ref="B388" location="'Atm õhu kaitse määrus'!A58" display="sk" xr:uid="{F138617E-2650-463C-A6E5-FA1E8900A16F}"/>
    <hyperlink ref="B381" location="'Atm õhu kaitse määrus'!K19" display="L" xr:uid="{F1060782-8426-4451-ACDB-937F8C1EFB75}"/>
    <hyperlink ref="B383" location="'Atm õhu kaitse määrus'!A58" display="sk" xr:uid="{C5902E68-0324-464B-8BD2-99C07B2878B8}"/>
    <hyperlink ref="B395" location="'Atm õhu kaitse määrus'!A66" display="MNH3laut" xr:uid="{E0DF3065-E270-4A73-B179-7F4B138FBD8C}"/>
    <hyperlink ref="B398" location="'Atm õhu kaitse määrus'!A86" display="MNH3sõnnikuhoidla" xr:uid="{E0B82137-BF98-4E4F-8145-A9FE87B30CFF}"/>
    <hyperlink ref="B403" location="Lambad!N119" display="EF (T)" xr:uid="{11CC66ED-6B4D-408C-ABBC-D0DC6EBF4D40}"/>
    <hyperlink ref="B407" location="Lambad!N126" display="EF S" xr:uid="{90A71812-F6AA-49E8-A903-A14D07CA179B}"/>
    <hyperlink ref="B413" location="Lambad!N146" display="N rate (T)" xr:uid="{7B84C361-A5BD-4385-9E58-2639852997B3}"/>
    <hyperlink ref="B419" location="Lambad!A147" display="Nex (T)" xr:uid="{56A46F42-D6FB-4E18-BF10-6459646EB7EE}"/>
    <hyperlink ref="B421" location="Lambad!N152" display="EF3 (S)" xr:uid="{5B43E19B-78C4-4B3B-835F-E1F26D966FCA}"/>
    <hyperlink ref="B427" location="Lambad!A147" display="Nex (T)" xr:uid="{6C6C8D46-6650-4F90-B882-7E222B151959}"/>
    <hyperlink ref="B429" location="Lambad!N173" display="Frac gasMS" xr:uid="{85EE2208-C4AD-4CED-889E-0028C3476406}"/>
    <hyperlink ref="B432" location="Lambad!A171" display="N volatilization-MMS" xr:uid="{D0477D36-4F6E-438C-A5C8-59AEFAE4C88C}"/>
    <hyperlink ref="B440" location="'Part, kalkun'!N28" display="N rate (T)" xr:uid="{F42661C2-B569-4563-837D-84197E343B94}"/>
    <hyperlink ref="B460" location="'Part, kalkun'!P58" display="EF3 (S)" xr:uid="{1AF99AB8-4636-46C1-824C-53A20FDF8873}"/>
    <hyperlink ref="B458" location="'Part, kalkun'!A29" display="Nex (T)" xr:uid="{89FD96D4-05F1-4C1D-9B3A-8ED6F841796C}"/>
    <hyperlink ref="B465" location="'Part, kalkun'!A29" display="Nex (T)" xr:uid="{173FA5AC-20D6-4E1B-BE74-398F0D3474C9}"/>
    <hyperlink ref="B467" location="'Part, kalkun'!P73" display="Frac gasMS" xr:uid="{A0FE598B-9F5A-4441-B6A7-89C5AAD28793}"/>
    <hyperlink ref="B470" location="'Part, kalkun'!A75" display="N volatilization-MMS" xr:uid="{D98C347C-7095-4E25-BCFF-096151F8773C}"/>
    <hyperlink ref="B343" location="'Atm õhu kaitse määrus'!A7" display="MNsööt" xr:uid="{8419E2D1-2010-4169-9644-0A2DD43B5560}"/>
    <hyperlink ref="B190" location="'Atm õhu kaitse määrus'!T15" display="qN" xr:uid="{A3EDD40B-34E2-4B10-B0EC-16F342360C05}"/>
    <hyperlink ref="B209" location="'Atm õhu kaitse määrus'!K69" display="qCH4laut" xr:uid="{BD5A4C7C-6315-4AC8-93AF-861073F7014E}"/>
    <hyperlink ref="B204" location="'Atm õhu kaitse määrus'!A58" display="sk" xr:uid="{8D91ECD5-4FA5-4922-9D97-D96739E280DE}"/>
    <hyperlink ref="B208" location="'Atm õhu kaitse määrus'!K19" display="L" xr:uid="{EEFD945D-06A1-48F0-9BE3-B40F5A100BD9}"/>
    <hyperlink ref="B218" location="'Atm õhu kaitse määrus'!K82" display="ksõnnikuhoidla" xr:uid="{6234408B-3BB6-43D7-A548-E7A1E1C01A16}"/>
    <hyperlink ref="B223" location="'Atm õhu kaitse määrus'!K92" display="qCH4sõnnikuhoidla" xr:uid="{48134121-9E2B-4D34-83A3-3034F83AA47E}"/>
    <hyperlink ref="B230" location="'Atm õhu kaitse määrus'!K103" display="ksõnnikuhoidla" xr:uid="{81ED82CD-19F4-4804-896D-72B1644E3C1A}"/>
    <hyperlink ref="B217" location="'Atm õhu kaitse määrus'!A66" display="MNH3laut" xr:uid="{A3869143-4CFE-44BD-922D-593C931F4C6B}"/>
    <hyperlink ref="B216" location="'Atm õhu kaitse määrus'!A58" display="sk" xr:uid="{37099DB9-E5AA-4642-B298-9B2A0ADCA8B9}"/>
    <hyperlink ref="B229" location="'Atm õhu kaitse määrus'!A58" display="sk" xr:uid="{2C74D084-C9AF-4614-8798-E1EEDC23878E}"/>
    <hyperlink ref="B222" location="'Atm õhu kaitse määrus'!K19" display="L" xr:uid="{7467ABCB-ECB0-493A-BBFA-62B80B8A6915}"/>
    <hyperlink ref="B224" location="'Atm õhu kaitse määrus'!A58" display="sk" xr:uid="{6219C9D3-55DA-478D-A89B-57CF8B64F51E}"/>
    <hyperlink ref="B236" location="'Atm õhu kaitse määrus'!A66" display="MNH3laut" xr:uid="{4F311500-8A66-44C9-A92A-91488161A7EF}"/>
    <hyperlink ref="B239" location="'Atm õhu kaitse määrus'!A86" display="MNH3sõnnikuhoidla" xr:uid="{6439BD26-E67C-4057-8F26-7BF53D4CBB77}"/>
    <hyperlink ref="B477" location="'Part, kalkun'!N28" display="N rate (T)" xr:uid="{F42BCFD7-9587-4804-90C2-874816A60D0C}"/>
    <hyperlink ref="B497" location="'Part, kalkun'!P58" display="EF3 (S)" xr:uid="{6D5D93A6-BAC2-4A9A-8C16-3F9298A0D91C}"/>
    <hyperlink ref="B495" location="'Part, kalkun'!A29" display="Nex (T)" xr:uid="{FD41764D-9F46-4928-9495-4338DB32A962}"/>
    <hyperlink ref="B502" location="'Part, kalkun'!A29" display="Nex (T)" xr:uid="{54656596-DE72-4680-AC1D-AE1783770158}"/>
    <hyperlink ref="B504" location="'Part, kalkun'!P73" display="Frac gasMS" xr:uid="{BD788AFC-CB65-454E-A632-5D7B7DC3FFDE}"/>
    <hyperlink ref="B507" location="'Part, kalkun'!A75" display="N volatilization-MMS" xr:uid="{2231CE34-9139-4494-B06A-C0A44744FFB6}"/>
  </hyperlink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4F473-784A-45D5-A53A-A75B57476C68}">
  <sheetPr codeName="Sheet11"/>
  <dimension ref="A1:FZ332"/>
  <sheetViews>
    <sheetView topLeftCell="A70" zoomScale="70" zoomScaleNormal="70" workbookViewId="0">
      <selection activeCell="J109" sqref="J109"/>
    </sheetView>
  </sheetViews>
  <sheetFormatPr defaultColWidth="8.81640625" defaultRowHeight="14.5"/>
  <cols>
    <col min="1" max="1" width="27" customWidth="1"/>
    <col min="3" max="3" width="40.453125" customWidth="1"/>
    <col min="6" max="6" width="24.453125" customWidth="1"/>
    <col min="11" max="11" width="14.54296875" customWidth="1"/>
    <col min="12" max="12" width="37.54296875" customWidth="1"/>
    <col min="15" max="15" width="20.1796875" customWidth="1"/>
    <col min="16" max="16" width="19.453125" customWidth="1"/>
    <col min="18" max="18" width="27.453125" customWidth="1"/>
    <col min="19" max="19" width="22.54296875" customWidth="1"/>
    <col min="27" max="27" width="26" customWidth="1"/>
    <col min="33" max="33" width="19.453125" customWidth="1"/>
    <col min="38" max="38" width="24.1796875" customWidth="1"/>
  </cols>
  <sheetData>
    <row r="1" spans="1:47">
      <c r="A1" t="s">
        <v>1</v>
      </c>
    </row>
    <row r="2" spans="1:47">
      <c r="AT2">
        <f>SUM(B4:AP4)</f>
        <v>0</v>
      </c>
      <c r="AU2" t="s">
        <v>2582</v>
      </c>
    </row>
    <row r="3" spans="1:47">
      <c r="A3" s="846" t="s">
        <v>132</v>
      </c>
      <c r="B3" s="846" t="str">
        <f>Ettev_kalk!E6</f>
        <v>Talinisu</v>
      </c>
      <c r="C3" s="846">
        <f>Ettev_kalk!F6</f>
        <v>0</v>
      </c>
      <c r="D3" s="846">
        <f>Ettev_kalk!G6</f>
        <v>0</v>
      </c>
      <c r="E3" s="846">
        <f>Ettev_kalk!H6</f>
        <v>0</v>
      </c>
      <c r="F3" s="846">
        <f>Ettev_kalk!I6</f>
        <v>0</v>
      </c>
      <c r="G3" s="846">
        <f>Ettev_kalk!J6</f>
        <v>0</v>
      </c>
      <c r="H3" s="846">
        <f>Ettev_kalk!K6</f>
        <v>0</v>
      </c>
      <c r="I3" s="846">
        <f>Ettev_kalk!L6</f>
        <v>0</v>
      </c>
      <c r="J3" s="846">
        <f>Ettev_kalk!M6</f>
        <v>0</v>
      </c>
      <c r="K3" s="846">
        <f>Ettev_kalk!N6</f>
        <v>0</v>
      </c>
      <c r="L3" s="846">
        <f>Ettev_kalk!O6</f>
        <v>0</v>
      </c>
      <c r="M3" s="846">
        <f>Ettev_kalk!P6</f>
        <v>0</v>
      </c>
      <c r="N3" s="846">
        <f>Ettev_kalk!Q6</f>
        <v>0</v>
      </c>
      <c r="O3" s="846">
        <f>Ettev_kalk!R6</f>
        <v>0</v>
      </c>
      <c r="P3" s="846">
        <f>Ettev_kalk!S6</f>
        <v>0</v>
      </c>
      <c r="Q3" s="846">
        <f>Ettev_kalk!T6</f>
        <v>0</v>
      </c>
      <c r="R3" s="846">
        <f>Ettev_kalk!U6</f>
        <v>0</v>
      </c>
      <c r="S3" s="846">
        <f>Ettev_kalk!V6</f>
        <v>0</v>
      </c>
      <c r="T3" s="846">
        <f>Ettev_kalk!W6</f>
        <v>0</v>
      </c>
      <c r="U3" s="846">
        <f>Ettev_kalk!X6</f>
        <v>0</v>
      </c>
      <c r="V3" s="846"/>
      <c r="W3" s="846"/>
      <c r="X3" s="846">
        <f>Ettev_kalk!Y6</f>
        <v>0</v>
      </c>
      <c r="Y3" s="846">
        <f>Ettev_kalk!Z6</f>
        <v>0</v>
      </c>
      <c r="Z3" s="846">
        <f>Ettev_kalk!AA6</f>
        <v>0</v>
      </c>
      <c r="AA3" s="846">
        <f>Ettev_kalk!AB6</f>
        <v>0</v>
      </c>
      <c r="AB3" s="846">
        <f>Ettev_kalk!AC6</f>
        <v>0</v>
      </c>
      <c r="AC3" s="846">
        <f>Ettev_kalk!AD6</f>
        <v>0</v>
      </c>
      <c r="AD3" s="846">
        <f>Ettev_kalk!AE6</f>
        <v>0</v>
      </c>
      <c r="AE3" s="846">
        <f>Ettev_kalk!AF6</f>
        <v>0</v>
      </c>
      <c r="AF3" s="846">
        <f>Ettev_kalk!AG6</f>
        <v>0</v>
      </c>
      <c r="AG3" s="846">
        <f>Ettev_kalk!AH6</f>
        <v>0</v>
      </c>
      <c r="AH3" s="846">
        <f>Ettev_kalk!AI6</f>
        <v>0</v>
      </c>
      <c r="AI3" s="846">
        <f>Ettev_kalk!AJ6</f>
        <v>0</v>
      </c>
      <c r="AJ3" s="846">
        <f>Ettev_kalk!AK6</f>
        <v>0</v>
      </c>
      <c r="AK3" s="846">
        <f>Ettev_kalk!AL6</f>
        <v>0</v>
      </c>
      <c r="AL3" s="846">
        <f>Ettev_kalk!AM6</f>
        <v>0</v>
      </c>
      <c r="AM3" s="846">
        <f>Ettev_kalk!AN6</f>
        <v>0</v>
      </c>
      <c r="AN3" s="846">
        <f>Ettev_kalk!AO6</f>
        <v>0</v>
      </c>
      <c r="AO3" s="846"/>
      <c r="AP3" s="846"/>
      <c r="AQ3" s="846">
        <f>Ettev_kalk!AP6</f>
        <v>0</v>
      </c>
      <c r="AR3" s="846">
        <f>Ettev_kalk!AQ6</f>
        <v>0</v>
      </c>
      <c r="AS3" s="846">
        <f>Ettev_kalk!AR6</f>
        <v>0</v>
      </c>
      <c r="AT3">
        <f>SUM(AQ4:AS4)</f>
        <v>0</v>
      </c>
      <c r="AU3" t="s">
        <v>2583</v>
      </c>
    </row>
    <row r="4" spans="1:47">
      <c r="A4" s="846" t="s">
        <v>940</v>
      </c>
      <c r="B4" s="846">
        <f>Ettev_kalk!E20</f>
        <v>0</v>
      </c>
      <c r="C4" s="846">
        <f>Ettev_kalk!F20</f>
        <v>0</v>
      </c>
      <c r="D4" s="846">
        <f>Ettev_kalk!G20</f>
        <v>0</v>
      </c>
      <c r="E4" s="846">
        <f>Ettev_kalk!H20</f>
        <v>0</v>
      </c>
      <c r="F4" s="846">
        <f>Ettev_kalk!I20</f>
        <v>0</v>
      </c>
      <c r="G4" s="846">
        <f>Ettev_kalk!J20</f>
        <v>0</v>
      </c>
      <c r="H4" s="846">
        <f>Ettev_kalk!K20</f>
        <v>0</v>
      </c>
      <c r="I4" s="846">
        <f>Ettev_kalk!L20</f>
        <v>0</v>
      </c>
      <c r="J4" s="846">
        <f>Ettev_kalk!M20</f>
        <v>0</v>
      </c>
      <c r="K4" s="846">
        <f>Ettev_kalk!N20</f>
        <v>0</v>
      </c>
      <c r="L4" s="846">
        <f>Ettev_kalk!O20</f>
        <v>0</v>
      </c>
      <c r="M4" s="846">
        <f>Ettev_kalk!P20</f>
        <v>0</v>
      </c>
      <c r="N4" s="846">
        <f>Ettev_kalk!Q20</f>
        <v>0</v>
      </c>
      <c r="O4" s="846">
        <f>Ettev_kalk!R20</f>
        <v>0</v>
      </c>
      <c r="P4" s="846">
        <f>Ettev_kalk!S20</f>
        <v>0</v>
      </c>
      <c r="Q4" s="846">
        <f>Ettev_kalk!T20</f>
        <v>0</v>
      </c>
      <c r="R4" s="846">
        <f>Ettev_kalk!U20</f>
        <v>0</v>
      </c>
      <c r="S4" s="846">
        <f>Ettev_kalk!V20</f>
        <v>0</v>
      </c>
      <c r="T4" s="846">
        <f>Ettev_kalk!W20</f>
        <v>0</v>
      </c>
      <c r="U4" s="846">
        <f>Ettev_kalk!X20</f>
        <v>0</v>
      </c>
      <c r="V4" s="846"/>
      <c r="W4" s="846"/>
      <c r="X4" s="846">
        <f>Ettev_kalk!Y30</f>
        <v>0</v>
      </c>
      <c r="Y4" s="846">
        <f>Ettev_kalk!Z30</f>
        <v>0</v>
      </c>
      <c r="Z4" s="846">
        <f>Ettev_kalk!AA30</f>
        <v>0</v>
      </c>
      <c r="AA4" s="846">
        <f>Ettev_kalk!AB30</f>
        <v>0</v>
      </c>
      <c r="AB4" s="846">
        <f>Ettev_kalk!AC30</f>
        <v>0</v>
      </c>
      <c r="AC4" s="846">
        <f>Ettev_kalk!AD30</f>
        <v>0</v>
      </c>
      <c r="AD4" s="846">
        <f>Ettev_kalk!AE30</f>
        <v>0</v>
      </c>
      <c r="AE4" s="846">
        <f>Ettev_kalk!AF30</f>
        <v>0</v>
      </c>
      <c r="AF4" s="846">
        <f>Ettev_kalk!AG30</f>
        <v>0</v>
      </c>
      <c r="AG4" s="846">
        <f>Ettev_kalk!AH30</f>
        <v>0</v>
      </c>
      <c r="AH4" s="846">
        <f>Ettev_kalk!AI30</f>
        <v>0</v>
      </c>
      <c r="AI4" s="846">
        <f>Ettev_kalk!AJ30</f>
        <v>0</v>
      </c>
      <c r="AJ4" s="846">
        <f>Ettev_kalk!AK30</f>
        <v>0</v>
      </c>
      <c r="AK4" s="846">
        <f>Ettev_kalk!AL30</f>
        <v>0</v>
      </c>
      <c r="AL4" s="846">
        <f>Ettev_kalk!AM30</f>
        <v>0</v>
      </c>
      <c r="AM4" s="846">
        <f>Ettev_kalk!AN30</f>
        <v>0</v>
      </c>
      <c r="AN4" s="846">
        <f>Ettev_kalk!AO30</f>
        <v>0</v>
      </c>
      <c r="AO4" s="846"/>
      <c r="AP4" s="846"/>
      <c r="AQ4" s="846">
        <f>Ettev_kalk!AP39</f>
        <v>0</v>
      </c>
      <c r="AR4" s="846">
        <f>Ettev_kalk!AQ39</f>
        <v>0</v>
      </c>
      <c r="AS4" s="846">
        <f>Ettev_kalk!AR39</f>
        <v>0</v>
      </c>
      <c r="AT4">
        <f>SUM(B4:AS4)</f>
        <v>0</v>
      </c>
      <c r="AU4" t="s">
        <v>941</v>
      </c>
    </row>
    <row r="5" spans="1:47">
      <c r="A5" s="846" t="s">
        <v>942</v>
      </c>
      <c r="B5" s="846">
        <f>Taimekasvatus!G20</f>
        <v>0</v>
      </c>
      <c r="C5" s="846">
        <f>Taimekasvatus!H20</f>
        <v>0</v>
      </c>
      <c r="D5" s="846">
        <f>Taimekasvatus!I20</f>
        <v>0</v>
      </c>
      <c r="E5" s="846">
        <f>Taimekasvatus!J20</f>
        <v>0</v>
      </c>
      <c r="F5" s="846">
        <f>Taimekasvatus!K20</f>
        <v>0</v>
      </c>
      <c r="G5" s="846">
        <f>Taimekasvatus!L20</f>
        <v>0</v>
      </c>
      <c r="H5" s="846">
        <f>Taimekasvatus!M20</f>
        <v>0</v>
      </c>
      <c r="I5" s="846">
        <f>Taimekasvatus!N20</f>
        <v>0</v>
      </c>
      <c r="J5" s="846">
        <f>Taimekasvatus!O20</f>
        <v>0</v>
      </c>
      <c r="K5" s="846">
        <f>Taimekasvatus!P20</f>
        <v>0</v>
      </c>
      <c r="L5" s="846">
        <f>Taimekasvatus!Q20</f>
        <v>0</v>
      </c>
      <c r="M5" s="846">
        <f>Taimekasvatus!R20</f>
        <v>0</v>
      </c>
      <c r="N5" s="846">
        <f>Taimekasvatus!S20</f>
        <v>0</v>
      </c>
      <c r="O5" s="846">
        <f>Taimekasvatus!T20</f>
        <v>0</v>
      </c>
      <c r="P5" s="846">
        <f>Taimekasvatus!U20</f>
        <v>0</v>
      </c>
      <c r="Q5" s="846">
        <f>Taimekasvatus!V20</f>
        <v>0</v>
      </c>
      <c r="R5" s="846">
        <f>Taimekasvatus!W20</f>
        <v>0</v>
      </c>
      <c r="S5" s="846">
        <f>Taimekasvatus!X20</f>
        <v>0</v>
      </c>
      <c r="T5" s="846">
        <f>Taimekasvatus!Y20</f>
        <v>0</v>
      </c>
      <c r="U5" s="846">
        <f>Taimekasvatus!Z20</f>
        <v>0</v>
      </c>
      <c r="V5" s="846"/>
      <c r="W5" s="846"/>
      <c r="X5" s="846">
        <f>Taimekasvatus!AA20</f>
        <v>0</v>
      </c>
      <c r="Y5" s="846">
        <f>Taimekasvatus!AB20</f>
        <v>0</v>
      </c>
      <c r="Z5" s="846">
        <f>Taimekasvatus!AC20</f>
        <v>0</v>
      </c>
      <c r="AA5" s="846">
        <f>Taimekasvatus!AD20</f>
        <v>0</v>
      </c>
      <c r="AB5" s="846">
        <f>Taimekasvatus!AE20</f>
        <v>0</v>
      </c>
      <c r="AC5" s="846">
        <f>Taimekasvatus!AF20</f>
        <v>0</v>
      </c>
      <c r="AD5" s="846">
        <f>Taimekasvatus!AG20</f>
        <v>0</v>
      </c>
      <c r="AE5" s="846">
        <f>Taimekasvatus!AH20</f>
        <v>0</v>
      </c>
      <c r="AF5" s="846">
        <f>Taimekasvatus!AI20</f>
        <v>0</v>
      </c>
      <c r="AG5" s="846">
        <f>Taimekasvatus!AJ20</f>
        <v>0</v>
      </c>
      <c r="AH5" s="846">
        <f>Taimekasvatus!AK20</f>
        <v>0</v>
      </c>
      <c r="AI5" s="846">
        <f>Taimekasvatus!AL20</f>
        <v>0</v>
      </c>
      <c r="AJ5" s="846">
        <f>Taimekasvatus!AM20</f>
        <v>0</v>
      </c>
      <c r="AK5" s="846">
        <f>Taimekasvatus!AN20</f>
        <v>0</v>
      </c>
      <c r="AL5" s="846">
        <f>Taimekasvatus!AO20</f>
        <v>0</v>
      </c>
      <c r="AM5" s="846">
        <f>Taimekasvatus!AP20</f>
        <v>0</v>
      </c>
      <c r="AN5" s="846">
        <f>Taimekasvatus!AQ20</f>
        <v>0</v>
      </c>
      <c r="AO5" s="846"/>
      <c r="AP5" s="846"/>
      <c r="AQ5" s="846">
        <f>Taimekasvatus!AR20</f>
        <v>0</v>
      </c>
      <c r="AR5" s="846">
        <f>Taimekasvatus!AS20</f>
        <v>0</v>
      </c>
      <c r="AS5" s="846">
        <f>Taimekasvatus!AT20</f>
        <v>0</v>
      </c>
      <c r="AT5">
        <f>'Ettevõttepõhine jalajälg'!H16*1000</f>
        <v>0</v>
      </c>
      <c r="AU5" t="s">
        <v>943</v>
      </c>
    </row>
    <row r="6" spans="1:47">
      <c r="A6" s="1064" t="s">
        <v>944</v>
      </c>
      <c r="B6" s="1070">
        <f>IFERROR($AT$6*B4,0)</f>
        <v>0</v>
      </c>
      <c r="C6" s="1070">
        <f t="shared" ref="C6:AS6" si="0">IFERROR($AT$6*C4,0)</f>
        <v>0</v>
      </c>
      <c r="D6" s="1070">
        <f t="shared" si="0"/>
        <v>0</v>
      </c>
      <c r="E6" s="1070">
        <f t="shared" si="0"/>
        <v>0</v>
      </c>
      <c r="F6" s="1070">
        <f t="shared" si="0"/>
        <v>0</v>
      </c>
      <c r="G6" s="1070">
        <f t="shared" si="0"/>
        <v>0</v>
      </c>
      <c r="H6" s="1070">
        <f t="shared" si="0"/>
        <v>0</v>
      </c>
      <c r="I6" s="1070">
        <f t="shared" si="0"/>
        <v>0</v>
      </c>
      <c r="J6" s="1070">
        <f t="shared" si="0"/>
        <v>0</v>
      </c>
      <c r="K6" s="1070">
        <f t="shared" si="0"/>
        <v>0</v>
      </c>
      <c r="L6" s="1070">
        <f t="shared" si="0"/>
        <v>0</v>
      </c>
      <c r="M6" s="1070">
        <f t="shared" si="0"/>
        <v>0</v>
      </c>
      <c r="N6" s="1070">
        <f t="shared" si="0"/>
        <v>0</v>
      </c>
      <c r="O6" s="1070">
        <f t="shared" si="0"/>
        <v>0</v>
      </c>
      <c r="P6" s="1070">
        <f t="shared" si="0"/>
        <v>0</v>
      </c>
      <c r="Q6" s="1070">
        <f t="shared" si="0"/>
        <v>0</v>
      </c>
      <c r="R6" s="1070">
        <f t="shared" si="0"/>
        <v>0</v>
      </c>
      <c r="S6" s="1070">
        <f t="shared" si="0"/>
        <v>0</v>
      </c>
      <c r="T6" s="1070">
        <f t="shared" si="0"/>
        <v>0</v>
      </c>
      <c r="U6" s="1070">
        <f t="shared" si="0"/>
        <v>0</v>
      </c>
      <c r="V6" s="1070">
        <f t="shared" si="0"/>
        <v>0</v>
      </c>
      <c r="W6" s="1070">
        <f t="shared" si="0"/>
        <v>0</v>
      </c>
      <c r="X6" s="1070">
        <f t="shared" si="0"/>
        <v>0</v>
      </c>
      <c r="Y6" s="1070">
        <f t="shared" si="0"/>
        <v>0</v>
      </c>
      <c r="Z6" s="1070">
        <f t="shared" si="0"/>
        <v>0</v>
      </c>
      <c r="AA6" s="1070">
        <f t="shared" si="0"/>
        <v>0</v>
      </c>
      <c r="AB6" s="1070">
        <f t="shared" si="0"/>
        <v>0</v>
      </c>
      <c r="AC6" s="1070">
        <f t="shared" si="0"/>
        <v>0</v>
      </c>
      <c r="AD6" s="1070">
        <f t="shared" si="0"/>
        <v>0</v>
      </c>
      <c r="AE6" s="1070">
        <f t="shared" si="0"/>
        <v>0</v>
      </c>
      <c r="AF6" s="1070">
        <f t="shared" si="0"/>
        <v>0</v>
      </c>
      <c r="AG6" s="1070">
        <f t="shared" si="0"/>
        <v>0</v>
      </c>
      <c r="AH6" s="1070">
        <f t="shared" si="0"/>
        <v>0</v>
      </c>
      <c r="AI6" s="1070">
        <f t="shared" si="0"/>
        <v>0</v>
      </c>
      <c r="AJ6" s="1070">
        <f t="shared" si="0"/>
        <v>0</v>
      </c>
      <c r="AK6" s="1070">
        <f t="shared" si="0"/>
        <v>0</v>
      </c>
      <c r="AL6" s="1070">
        <f t="shared" si="0"/>
        <v>0</v>
      </c>
      <c r="AM6" s="1070">
        <f t="shared" si="0"/>
        <v>0</v>
      </c>
      <c r="AN6" s="1070">
        <f t="shared" si="0"/>
        <v>0</v>
      </c>
      <c r="AO6" s="1070">
        <f t="shared" si="0"/>
        <v>0</v>
      </c>
      <c r="AP6" s="1070">
        <f t="shared" si="0"/>
        <v>0</v>
      </c>
      <c r="AQ6" s="1070">
        <f t="shared" si="0"/>
        <v>0</v>
      </c>
      <c r="AR6" s="1070">
        <f t="shared" si="0"/>
        <v>0</v>
      </c>
      <c r="AS6" s="1070">
        <f t="shared" si="0"/>
        <v>0</v>
      </c>
      <c r="AT6">
        <f>IFERROR(AT5/AT4,0)</f>
        <v>0</v>
      </c>
      <c r="AU6" t="s">
        <v>945</v>
      </c>
    </row>
    <row r="7" spans="1:47">
      <c r="A7" s="846" t="s">
        <v>946</v>
      </c>
      <c r="B7" s="846">
        <f>Taimekasvatus!G25</f>
        <v>0</v>
      </c>
      <c r="C7" s="846">
        <f>Taimekasvatus!H25</f>
        <v>0</v>
      </c>
      <c r="D7" s="846">
        <f>Taimekasvatus!I25</f>
        <v>0</v>
      </c>
      <c r="E7" s="846">
        <f>Taimekasvatus!J25</f>
        <v>0</v>
      </c>
      <c r="F7" s="846">
        <f>Taimekasvatus!K25</f>
        <v>0</v>
      </c>
      <c r="G7" s="846">
        <f>Taimekasvatus!L25</f>
        <v>0</v>
      </c>
      <c r="H7" s="846">
        <f>Taimekasvatus!M25</f>
        <v>0</v>
      </c>
      <c r="I7" s="846">
        <f>Taimekasvatus!N25</f>
        <v>0</v>
      </c>
      <c r="J7" s="846">
        <f>Taimekasvatus!O25</f>
        <v>0</v>
      </c>
      <c r="K7" s="846">
        <f>Taimekasvatus!P25</f>
        <v>0</v>
      </c>
      <c r="L7" s="846">
        <f>Taimekasvatus!Q25</f>
        <v>0</v>
      </c>
      <c r="M7" s="846">
        <f>Taimekasvatus!R25</f>
        <v>0</v>
      </c>
      <c r="N7" s="846">
        <f>Taimekasvatus!S25</f>
        <v>0</v>
      </c>
      <c r="O7" s="846">
        <f>Taimekasvatus!T25</f>
        <v>0</v>
      </c>
      <c r="P7" s="846">
        <f>Taimekasvatus!U25</f>
        <v>0</v>
      </c>
      <c r="Q7" s="846">
        <f>Taimekasvatus!V25</f>
        <v>0</v>
      </c>
      <c r="R7" s="846">
        <f>Taimekasvatus!W25</f>
        <v>0</v>
      </c>
      <c r="S7" s="846">
        <f>Taimekasvatus!X25</f>
        <v>0</v>
      </c>
      <c r="T7" s="846">
        <f>Taimekasvatus!Y25</f>
        <v>0</v>
      </c>
      <c r="U7" s="846">
        <f>Taimekasvatus!Z25</f>
        <v>0</v>
      </c>
      <c r="V7" s="846"/>
      <c r="W7" s="846"/>
      <c r="X7" s="846">
        <f>Taimekasvatus!AA25</f>
        <v>0</v>
      </c>
      <c r="Y7" s="846">
        <f>Taimekasvatus!AB25</f>
        <v>0</v>
      </c>
      <c r="Z7" s="846">
        <f>Taimekasvatus!AC25</f>
        <v>0</v>
      </c>
      <c r="AA7" s="846">
        <f>Taimekasvatus!AD25</f>
        <v>0</v>
      </c>
      <c r="AB7" s="846">
        <f>Taimekasvatus!AE25</f>
        <v>0</v>
      </c>
      <c r="AC7" s="846">
        <f>Taimekasvatus!AF25</f>
        <v>0</v>
      </c>
      <c r="AD7" s="846">
        <f>Taimekasvatus!AG25</f>
        <v>0</v>
      </c>
      <c r="AE7" s="846">
        <f>Taimekasvatus!AH25</f>
        <v>0</v>
      </c>
      <c r="AF7" s="846">
        <f>Taimekasvatus!AI25</f>
        <v>0</v>
      </c>
      <c r="AG7" s="846">
        <f>Taimekasvatus!AJ25</f>
        <v>0</v>
      </c>
      <c r="AH7" s="846">
        <f>Taimekasvatus!AK25</f>
        <v>0</v>
      </c>
      <c r="AI7" s="846">
        <f>Taimekasvatus!AL25</f>
        <v>0</v>
      </c>
      <c r="AJ7" s="846">
        <f>Taimekasvatus!AM25</f>
        <v>0</v>
      </c>
      <c r="AK7" s="846">
        <f>Taimekasvatus!AN25</f>
        <v>0</v>
      </c>
      <c r="AL7" s="846">
        <f>Taimekasvatus!AO25</f>
        <v>0</v>
      </c>
      <c r="AM7" s="846">
        <f>Taimekasvatus!AP25</f>
        <v>0</v>
      </c>
      <c r="AN7" s="846">
        <f>Taimekasvatus!AQ25</f>
        <v>0</v>
      </c>
      <c r="AO7" s="846"/>
      <c r="AP7" s="846"/>
      <c r="AQ7" s="846">
        <f>Taimekasvatus!AR25</f>
        <v>0</v>
      </c>
      <c r="AR7" s="846">
        <f>Taimekasvatus!AS25</f>
        <v>0</v>
      </c>
      <c r="AS7" s="846">
        <f>Taimekasvatus!AT25</f>
        <v>0</v>
      </c>
    </row>
    <row r="8" spans="1:47">
      <c r="A8" s="846" t="s">
        <v>947</v>
      </c>
      <c r="B8" s="846">
        <f>Taimekasvatus!G49</f>
        <v>0</v>
      </c>
      <c r="C8" s="846">
        <f>Taimekasvatus!H49</f>
        <v>0</v>
      </c>
      <c r="D8" s="846">
        <f>Taimekasvatus!I49</f>
        <v>0</v>
      </c>
      <c r="E8" s="846">
        <f>Taimekasvatus!J49</f>
        <v>0</v>
      </c>
      <c r="F8" s="846">
        <f>Taimekasvatus!K49</f>
        <v>0</v>
      </c>
      <c r="G8" s="846">
        <f>Taimekasvatus!L49</f>
        <v>0</v>
      </c>
      <c r="H8" s="846">
        <f>Taimekasvatus!M49</f>
        <v>0</v>
      </c>
      <c r="I8" s="846">
        <f>Taimekasvatus!N49</f>
        <v>0</v>
      </c>
      <c r="J8" s="846">
        <f>Taimekasvatus!O49</f>
        <v>0</v>
      </c>
      <c r="K8" s="846">
        <f>Taimekasvatus!P49</f>
        <v>0</v>
      </c>
      <c r="L8" s="846">
        <f>Taimekasvatus!Q49</f>
        <v>0</v>
      </c>
      <c r="M8" s="846">
        <f>Taimekasvatus!R49</f>
        <v>0</v>
      </c>
      <c r="N8" s="846">
        <f>Taimekasvatus!S49</f>
        <v>0</v>
      </c>
      <c r="O8" s="846">
        <f>Taimekasvatus!T49</f>
        <v>0</v>
      </c>
      <c r="P8" s="846">
        <f>Taimekasvatus!U49</f>
        <v>0</v>
      </c>
      <c r="Q8" s="846">
        <f>Taimekasvatus!V49</f>
        <v>0</v>
      </c>
      <c r="R8" s="846">
        <f>Taimekasvatus!W49</f>
        <v>0</v>
      </c>
      <c r="S8" s="846">
        <f>Taimekasvatus!X49</f>
        <v>0</v>
      </c>
      <c r="T8" s="846">
        <f>Taimekasvatus!Y49</f>
        <v>0</v>
      </c>
      <c r="U8" s="846">
        <f>Taimekasvatus!Z49</f>
        <v>0</v>
      </c>
      <c r="V8" s="846"/>
      <c r="W8" s="846"/>
      <c r="X8" s="846">
        <f>Taimekasvatus!AA49</f>
        <v>0</v>
      </c>
      <c r="Y8" s="846">
        <f>Taimekasvatus!AB49</f>
        <v>0</v>
      </c>
      <c r="Z8" s="846">
        <f>Taimekasvatus!AC49</f>
        <v>0</v>
      </c>
      <c r="AA8" s="846">
        <f>Taimekasvatus!AD49</f>
        <v>0</v>
      </c>
      <c r="AB8" s="846">
        <f>Taimekasvatus!AE49</f>
        <v>0</v>
      </c>
      <c r="AC8" s="846">
        <f>Taimekasvatus!AF49</f>
        <v>0</v>
      </c>
      <c r="AD8" s="846">
        <f>Taimekasvatus!AG49</f>
        <v>0</v>
      </c>
      <c r="AE8" s="846">
        <f>Taimekasvatus!AH49</f>
        <v>0</v>
      </c>
      <c r="AF8" s="846">
        <f>Taimekasvatus!AI49</f>
        <v>0</v>
      </c>
      <c r="AG8" s="846">
        <f>Taimekasvatus!AJ49</f>
        <v>0</v>
      </c>
      <c r="AH8" s="846">
        <f>Taimekasvatus!AK49</f>
        <v>0</v>
      </c>
      <c r="AI8" s="846">
        <f>Taimekasvatus!AL49</f>
        <v>0</v>
      </c>
      <c r="AJ8" s="846">
        <f>Taimekasvatus!AM49</f>
        <v>0</v>
      </c>
      <c r="AK8" s="846">
        <f>Taimekasvatus!AN49</f>
        <v>0</v>
      </c>
      <c r="AL8" s="846">
        <f>Taimekasvatus!AO49</f>
        <v>0</v>
      </c>
      <c r="AM8" s="846">
        <f>Taimekasvatus!AP49</f>
        <v>0</v>
      </c>
      <c r="AN8" s="846">
        <f>Taimekasvatus!AQ49</f>
        <v>0</v>
      </c>
      <c r="AO8" s="846"/>
      <c r="AP8" s="846"/>
      <c r="AQ8" s="846">
        <f>Taimekasvatus!AR49</f>
        <v>0</v>
      </c>
      <c r="AR8" s="846">
        <f>Taimekasvatus!AS49</f>
        <v>0</v>
      </c>
      <c r="AS8" s="846">
        <f>Taimekasvatus!AT49</f>
        <v>0</v>
      </c>
    </row>
    <row r="9" spans="1:47">
      <c r="A9" s="846" t="s">
        <v>948</v>
      </c>
      <c r="B9" s="846">
        <f>Taimekasvatus!G33</f>
        <v>0</v>
      </c>
      <c r="C9" s="846">
        <f>Taimekasvatus!H33</f>
        <v>0</v>
      </c>
      <c r="D9" s="846">
        <f>Taimekasvatus!I33</f>
        <v>0</v>
      </c>
      <c r="E9" s="846">
        <f>Taimekasvatus!J33</f>
        <v>0</v>
      </c>
      <c r="F9" s="846">
        <f>Taimekasvatus!K33</f>
        <v>0</v>
      </c>
      <c r="G9" s="846">
        <f>Taimekasvatus!L33</f>
        <v>0</v>
      </c>
      <c r="H9" s="846">
        <f>Taimekasvatus!M33</f>
        <v>0</v>
      </c>
      <c r="I9" s="846">
        <f>Taimekasvatus!N33</f>
        <v>0</v>
      </c>
      <c r="J9" s="846">
        <f>Taimekasvatus!O33</f>
        <v>0</v>
      </c>
      <c r="K9" s="846">
        <f>Taimekasvatus!P33</f>
        <v>0</v>
      </c>
      <c r="L9" s="846">
        <f>Taimekasvatus!Q33</f>
        <v>0</v>
      </c>
      <c r="M9" s="846">
        <f>Taimekasvatus!R33</f>
        <v>0</v>
      </c>
      <c r="N9" s="846">
        <f>Taimekasvatus!S33</f>
        <v>0</v>
      </c>
      <c r="O9" s="846">
        <f>Taimekasvatus!T33</f>
        <v>0</v>
      </c>
      <c r="P9" s="846">
        <f>Taimekasvatus!U33</f>
        <v>0</v>
      </c>
      <c r="Q9" s="846">
        <f>Taimekasvatus!V33</f>
        <v>0</v>
      </c>
      <c r="R9" s="846">
        <f>Taimekasvatus!W33</f>
        <v>0</v>
      </c>
      <c r="S9" s="846">
        <f>Taimekasvatus!X33</f>
        <v>0</v>
      </c>
      <c r="T9" s="846">
        <f>Taimekasvatus!Y33</f>
        <v>0</v>
      </c>
      <c r="U9" s="846">
        <f>Taimekasvatus!Z33</f>
        <v>0</v>
      </c>
      <c r="V9" s="846"/>
      <c r="W9" s="846"/>
      <c r="X9" s="846">
        <f>Taimekasvatus!AA33</f>
        <v>0</v>
      </c>
      <c r="Y9" s="846">
        <f>Taimekasvatus!AB33</f>
        <v>0</v>
      </c>
      <c r="Z9" s="846">
        <f>Taimekasvatus!AC33</f>
        <v>0</v>
      </c>
      <c r="AA9" s="846">
        <f>Taimekasvatus!AD33</f>
        <v>0</v>
      </c>
      <c r="AB9" s="846">
        <f>Taimekasvatus!AE33</f>
        <v>0</v>
      </c>
      <c r="AC9" s="846">
        <f>Taimekasvatus!AF33</f>
        <v>0</v>
      </c>
      <c r="AD9" s="846">
        <f>Taimekasvatus!AG33</f>
        <v>0</v>
      </c>
      <c r="AE9" s="846">
        <f>Taimekasvatus!AH33</f>
        <v>0</v>
      </c>
      <c r="AF9" s="846">
        <f>Taimekasvatus!AI33</f>
        <v>0</v>
      </c>
      <c r="AG9" s="846">
        <f>Taimekasvatus!AJ33</f>
        <v>0</v>
      </c>
      <c r="AH9" s="846">
        <f>Taimekasvatus!AK33</f>
        <v>0</v>
      </c>
      <c r="AI9" s="846">
        <f>Taimekasvatus!AL33</f>
        <v>0</v>
      </c>
      <c r="AJ9" s="846">
        <f>Taimekasvatus!AM33</f>
        <v>0</v>
      </c>
      <c r="AK9" s="846">
        <f>Taimekasvatus!AN33</f>
        <v>0</v>
      </c>
      <c r="AL9" s="846">
        <f>Taimekasvatus!AO33</f>
        <v>0</v>
      </c>
      <c r="AM9" s="846">
        <f>Taimekasvatus!AP33</f>
        <v>0</v>
      </c>
      <c r="AN9" s="846">
        <f>Taimekasvatus!AQ33</f>
        <v>0</v>
      </c>
      <c r="AO9" s="846"/>
      <c r="AP9" s="846"/>
      <c r="AQ9" s="846">
        <f>Taimekasvatus!AR33</f>
        <v>0</v>
      </c>
      <c r="AR9" s="846">
        <f>Taimekasvatus!AS33</f>
        <v>0</v>
      </c>
      <c r="AS9" s="846">
        <f>Taimekasvatus!AT33</f>
        <v>0</v>
      </c>
    </row>
    <row r="10" spans="1:47">
      <c r="A10" s="846" t="s">
        <v>949</v>
      </c>
      <c r="B10" s="846">
        <f>Taimekasvatus!G34</f>
        <v>0</v>
      </c>
      <c r="C10" s="846">
        <f>Taimekasvatus!H34</f>
        <v>0</v>
      </c>
      <c r="D10" s="846">
        <f>Taimekasvatus!I34</f>
        <v>0</v>
      </c>
      <c r="E10" s="846">
        <f>Taimekasvatus!J34</f>
        <v>0</v>
      </c>
      <c r="F10" s="846">
        <f>Taimekasvatus!K34</f>
        <v>0</v>
      </c>
      <c r="G10" s="846">
        <f>Taimekasvatus!L34</f>
        <v>0</v>
      </c>
      <c r="H10" s="846">
        <f>Taimekasvatus!M34</f>
        <v>0</v>
      </c>
      <c r="I10" s="846">
        <f>Taimekasvatus!N34</f>
        <v>0</v>
      </c>
      <c r="J10" s="846">
        <f>Taimekasvatus!O34</f>
        <v>0</v>
      </c>
      <c r="K10" s="846">
        <f>Taimekasvatus!P34</f>
        <v>0</v>
      </c>
      <c r="L10" s="846">
        <f>Taimekasvatus!Q34</f>
        <v>0</v>
      </c>
      <c r="M10" s="846">
        <f>Taimekasvatus!R34</f>
        <v>0</v>
      </c>
      <c r="N10" s="846">
        <f>Taimekasvatus!S34</f>
        <v>0</v>
      </c>
      <c r="O10" s="846">
        <f>Taimekasvatus!T34</f>
        <v>0</v>
      </c>
      <c r="P10" s="846">
        <f>Taimekasvatus!U34</f>
        <v>0</v>
      </c>
      <c r="Q10" s="846">
        <f>Taimekasvatus!V34</f>
        <v>0</v>
      </c>
      <c r="R10" s="846">
        <f>Taimekasvatus!W34</f>
        <v>0</v>
      </c>
      <c r="S10" s="846">
        <f>Taimekasvatus!X34</f>
        <v>0</v>
      </c>
      <c r="T10" s="846">
        <f>Taimekasvatus!Y34</f>
        <v>0</v>
      </c>
      <c r="U10" s="846">
        <f>Taimekasvatus!Z34</f>
        <v>0</v>
      </c>
      <c r="V10" s="846"/>
      <c r="W10" s="846"/>
      <c r="X10" s="846">
        <f>Taimekasvatus!AA34</f>
        <v>0</v>
      </c>
      <c r="Y10" s="846">
        <f>Taimekasvatus!AB34</f>
        <v>0</v>
      </c>
      <c r="Z10" s="846">
        <f>Taimekasvatus!AC34</f>
        <v>0</v>
      </c>
      <c r="AA10" s="846">
        <f>Taimekasvatus!AD34</f>
        <v>0</v>
      </c>
      <c r="AB10" s="846">
        <f>Taimekasvatus!AE34</f>
        <v>0</v>
      </c>
      <c r="AC10" s="846">
        <f>Taimekasvatus!AF34</f>
        <v>0</v>
      </c>
      <c r="AD10" s="846">
        <f>Taimekasvatus!AG34</f>
        <v>0</v>
      </c>
      <c r="AE10" s="846">
        <f>Taimekasvatus!AH34</f>
        <v>0</v>
      </c>
      <c r="AF10" s="846">
        <f>Taimekasvatus!AI34</f>
        <v>0</v>
      </c>
      <c r="AG10" s="846">
        <f>Taimekasvatus!AJ34</f>
        <v>0</v>
      </c>
      <c r="AH10" s="846">
        <f>Taimekasvatus!AK34</f>
        <v>0</v>
      </c>
      <c r="AI10" s="846">
        <f>Taimekasvatus!AL34</f>
        <v>0</v>
      </c>
      <c r="AJ10" s="846">
        <f>Taimekasvatus!AM34</f>
        <v>0</v>
      </c>
      <c r="AK10" s="846">
        <f>Taimekasvatus!AN34</f>
        <v>0</v>
      </c>
      <c r="AL10" s="846">
        <f>Taimekasvatus!AO34</f>
        <v>0</v>
      </c>
      <c r="AM10" s="846">
        <f>Taimekasvatus!AP34</f>
        <v>0</v>
      </c>
      <c r="AN10" s="846">
        <f>Taimekasvatus!AQ34</f>
        <v>0</v>
      </c>
      <c r="AO10" s="846"/>
      <c r="AP10" s="846"/>
      <c r="AQ10" s="846">
        <f>Taimekasvatus!AR34</f>
        <v>0</v>
      </c>
      <c r="AR10" s="846">
        <f>Taimekasvatus!AS34</f>
        <v>0</v>
      </c>
      <c r="AS10" s="846">
        <f>Taimekasvatus!AT34</f>
        <v>0</v>
      </c>
    </row>
    <row r="11" spans="1:47">
      <c r="A11" s="846" t="s">
        <v>950</v>
      </c>
      <c r="B11" s="846">
        <f>Taimekasvatus!G35</f>
        <v>0</v>
      </c>
      <c r="C11" s="846">
        <f>Taimekasvatus!H35</f>
        <v>0</v>
      </c>
      <c r="D11" s="846">
        <f>Taimekasvatus!I35</f>
        <v>0</v>
      </c>
      <c r="E11" s="846">
        <f>Taimekasvatus!J35</f>
        <v>0</v>
      </c>
      <c r="F11" s="846">
        <f>Taimekasvatus!K35</f>
        <v>0</v>
      </c>
      <c r="G11" s="846">
        <f>Taimekasvatus!L35</f>
        <v>0</v>
      </c>
      <c r="H11" s="846">
        <f>Taimekasvatus!M35</f>
        <v>0</v>
      </c>
      <c r="I11" s="846">
        <f>Taimekasvatus!N35</f>
        <v>0</v>
      </c>
      <c r="J11" s="846">
        <f>Taimekasvatus!O35</f>
        <v>0</v>
      </c>
      <c r="K11" s="846">
        <f>Taimekasvatus!P35</f>
        <v>0</v>
      </c>
      <c r="L11" s="846">
        <f>Taimekasvatus!Q35</f>
        <v>0</v>
      </c>
      <c r="M11" s="846">
        <f>Taimekasvatus!R35</f>
        <v>0</v>
      </c>
      <c r="N11" s="846">
        <f>Taimekasvatus!S35</f>
        <v>0</v>
      </c>
      <c r="O11" s="846">
        <f>Taimekasvatus!T35</f>
        <v>0</v>
      </c>
      <c r="P11" s="846">
        <f>Taimekasvatus!U35</f>
        <v>0</v>
      </c>
      <c r="Q11" s="846">
        <f>Taimekasvatus!V35</f>
        <v>0</v>
      </c>
      <c r="R11" s="846">
        <f>Taimekasvatus!W35</f>
        <v>0</v>
      </c>
      <c r="S11" s="846">
        <f>Taimekasvatus!X35</f>
        <v>0</v>
      </c>
      <c r="T11" s="846">
        <f>Taimekasvatus!Y35</f>
        <v>0</v>
      </c>
      <c r="U11" s="846">
        <f>Taimekasvatus!Z35</f>
        <v>0</v>
      </c>
      <c r="V11" s="846"/>
      <c r="W11" s="846"/>
      <c r="X11" s="846">
        <f>Taimekasvatus!AA35</f>
        <v>0</v>
      </c>
      <c r="Y11" s="846">
        <f>Taimekasvatus!AB35</f>
        <v>0</v>
      </c>
      <c r="Z11" s="846">
        <f>Taimekasvatus!AC35</f>
        <v>0</v>
      </c>
      <c r="AA11" s="846">
        <f>Taimekasvatus!AD35</f>
        <v>0</v>
      </c>
      <c r="AB11" s="846">
        <f>Taimekasvatus!AE35</f>
        <v>0</v>
      </c>
      <c r="AC11" s="846">
        <f>Taimekasvatus!AF35</f>
        <v>0</v>
      </c>
      <c r="AD11" s="846">
        <f>Taimekasvatus!AG35</f>
        <v>0</v>
      </c>
      <c r="AE11" s="846">
        <f>Taimekasvatus!AH35</f>
        <v>0</v>
      </c>
      <c r="AF11" s="846">
        <f>Taimekasvatus!AI35</f>
        <v>0</v>
      </c>
      <c r="AG11" s="846">
        <f>Taimekasvatus!AJ35</f>
        <v>0</v>
      </c>
      <c r="AH11" s="846">
        <f>Taimekasvatus!AK35</f>
        <v>0</v>
      </c>
      <c r="AI11" s="846">
        <f>Taimekasvatus!AL35</f>
        <v>0</v>
      </c>
      <c r="AJ11" s="846">
        <f>Taimekasvatus!AM35</f>
        <v>0</v>
      </c>
      <c r="AK11" s="846">
        <f>Taimekasvatus!AN35</f>
        <v>0</v>
      </c>
      <c r="AL11" s="846">
        <f>Taimekasvatus!AO35</f>
        <v>0</v>
      </c>
      <c r="AM11" s="846">
        <f>Taimekasvatus!AP35</f>
        <v>0</v>
      </c>
      <c r="AN11" s="846">
        <f>Taimekasvatus!AQ35</f>
        <v>0</v>
      </c>
      <c r="AO11" s="846"/>
      <c r="AP11" s="846"/>
      <c r="AQ11" s="846">
        <f>Taimekasvatus!AR35</f>
        <v>0</v>
      </c>
      <c r="AR11" s="846">
        <f>Taimekasvatus!AS35</f>
        <v>0</v>
      </c>
      <c r="AS11" s="846">
        <f>Taimekasvatus!AT35</f>
        <v>0</v>
      </c>
    </row>
    <row r="12" spans="1:47">
      <c r="A12" s="846" t="s">
        <v>951</v>
      </c>
      <c r="B12" s="846">
        <f>Ettev_kalk!E8</f>
        <v>0</v>
      </c>
      <c r="C12" s="846">
        <f>Ettev_kalk!F8</f>
        <v>0</v>
      </c>
      <c r="D12" s="846">
        <f>Ettev_kalk!G8</f>
        <v>0</v>
      </c>
      <c r="E12" s="846">
        <f>Ettev_kalk!H8</f>
        <v>0</v>
      </c>
      <c r="F12" s="846">
        <f>Ettev_kalk!I8</f>
        <v>0</v>
      </c>
      <c r="G12" s="846">
        <f>Ettev_kalk!J8</f>
        <v>0</v>
      </c>
      <c r="H12" s="846">
        <f>Ettev_kalk!K8</f>
        <v>0</v>
      </c>
      <c r="I12" s="846">
        <f>Ettev_kalk!L8</f>
        <v>0</v>
      </c>
      <c r="J12" s="846">
        <f>Ettev_kalk!M8</f>
        <v>0</v>
      </c>
      <c r="K12" s="846">
        <f>Ettev_kalk!N8</f>
        <v>0</v>
      </c>
      <c r="L12" s="846">
        <f>Ettev_kalk!O8</f>
        <v>0</v>
      </c>
      <c r="M12" s="846">
        <f>Ettev_kalk!P8</f>
        <v>0</v>
      </c>
      <c r="N12" s="846">
        <f>Ettev_kalk!Q8</f>
        <v>0</v>
      </c>
      <c r="O12" s="846">
        <f>Ettev_kalk!R8</f>
        <v>0</v>
      </c>
      <c r="P12" s="846">
        <f>Ettev_kalk!S8</f>
        <v>0</v>
      </c>
      <c r="Q12" s="846">
        <f>Ettev_kalk!T8</f>
        <v>0</v>
      </c>
      <c r="R12" s="846">
        <f>Ettev_kalk!U8</f>
        <v>0</v>
      </c>
      <c r="S12" s="846">
        <f>Ettev_kalk!V8</f>
        <v>0</v>
      </c>
      <c r="T12" s="846">
        <f>Ettev_kalk!W8</f>
        <v>0</v>
      </c>
      <c r="U12" s="846">
        <f>Ettev_kalk!X8</f>
        <v>0</v>
      </c>
      <c r="V12" s="846"/>
      <c r="W12" s="846"/>
      <c r="X12" s="846">
        <f>Ettev_kalk!Y8</f>
        <v>0</v>
      </c>
      <c r="Y12" s="846">
        <f>Ettev_kalk!Z8</f>
        <v>0</v>
      </c>
      <c r="Z12" s="846">
        <f>Ettev_kalk!AA8</f>
        <v>0</v>
      </c>
      <c r="AA12" s="846">
        <f>Ettev_kalk!AB8</f>
        <v>0</v>
      </c>
      <c r="AB12" s="846">
        <f>Ettev_kalk!AC8</f>
        <v>0</v>
      </c>
      <c r="AC12" s="846">
        <f>Ettev_kalk!AD8</f>
        <v>0</v>
      </c>
      <c r="AD12" s="846">
        <f>Ettev_kalk!AE8</f>
        <v>0</v>
      </c>
      <c r="AE12" s="846">
        <f>Ettev_kalk!AF8</f>
        <v>0</v>
      </c>
      <c r="AF12" s="846">
        <f>Ettev_kalk!AG8</f>
        <v>0</v>
      </c>
      <c r="AG12" s="846">
        <f>Ettev_kalk!AH8</f>
        <v>0</v>
      </c>
      <c r="AH12" s="846">
        <f>Ettev_kalk!AI8</f>
        <v>0</v>
      </c>
      <c r="AI12" s="846">
        <f>Ettev_kalk!AJ8</f>
        <v>0</v>
      </c>
      <c r="AJ12" s="846">
        <f>Ettev_kalk!AK8</f>
        <v>0</v>
      </c>
      <c r="AK12" s="846">
        <f>Ettev_kalk!AL8</f>
        <v>0</v>
      </c>
      <c r="AL12" s="846">
        <f>Ettev_kalk!AM8</f>
        <v>0</v>
      </c>
      <c r="AM12" s="846">
        <f>Ettev_kalk!AN8</f>
        <v>0</v>
      </c>
      <c r="AN12" s="846">
        <f>Ettev_kalk!AO8</f>
        <v>0</v>
      </c>
      <c r="AO12" s="846"/>
      <c r="AP12" s="846"/>
      <c r="AQ12" s="846">
        <f>Ettev_kalk!AP8</f>
        <v>0</v>
      </c>
      <c r="AR12" s="846">
        <f>Ettev_kalk!AQ8</f>
        <v>0</v>
      </c>
      <c r="AS12" s="846">
        <f>Ettev_kalk!AR8</f>
        <v>0</v>
      </c>
    </row>
    <row r="13" spans="1:47">
      <c r="A13" s="846" t="s">
        <v>952</v>
      </c>
      <c r="B13" s="846">
        <f>B12*(44/28)*265</f>
        <v>0</v>
      </c>
      <c r="C13" s="846">
        <f t="shared" ref="C13:AS13" si="1">C12*(44/28)*265</f>
        <v>0</v>
      </c>
      <c r="D13" s="846">
        <f t="shared" si="1"/>
        <v>0</v>
      </c>
      <c r="E13" s="846">
        <f t="shared" si="1"/>
        <v>0</v>
      </c>
      <c r="F13" s="846">
        <f t="shared" si="1"/>
        <v>0</v>
      </c>
      <c r="G13" s="846">
        <f t="shared" si="1"/>
        <v>0</v>
      </c>
      <c r="H13" s="846">
        <f t="shared" si="1"/>
        <v>0</v>
      </c>
      <c r="I13" s="846">
        <f t="shared" si="1"/>
        <v>0</v>
      </c>
      <c r="J13" s="846">
        <f t="shared" si="1"/>
        <v>0</v>
      </c>
      <c r="K13" s="846">
        <f t="shared" si="1"/>
        <v>0</v>
      </c>
      <c r="L13" s="846">
        <f t="shared" si="1"/>
        <v>0</v>
      </c>
      <c r="M13" s="846">
        <f t="shared" si="1"/>
        <v>0</v>
      </c>
      <c r="N13" s="846">
        <f t="shared" si="1"/>
        <v>0</v>
      </c>
      <c r="O13" s="846">
        <f t="shared" si="1"/>
        <v>0</v>
      </c>
      <c r="P13" s="846">
        <f t="shared" si="1"/>
        <v>0</v>
      </c>
      <c r="Q13" s="846">
        <f t="shared" si="1"/>
        <v>0</v>
      </c>
      <c r="R13" s="846">
        <f t="shared" si="1"/>
        <v>0</v>
      </c>
      <c r="S13" s="846">
        <f t="shared" si="1"/>
        <v>0</v>
      </c>
      <c r="T13" s="846">
        <f t="shared" si="1"/>
        <v>0</v>
      </c>
      <c r="U13" s="846">
        <f t="shared" si="1"/>
        <v>0</v>
      </c>
      <c r="V13" s="846"/>
      <c r="W13" s="846"/>
      <c r="X13" s="846">
        <f t="shared" si="1"/>
        <v>0</v>
      </c>
      <c r="Y13" s="846">
        <f t="shared" si="1"/>
        <v>0</v>
      </c>
      <c r="Z13" s="846">
        <f t="shared" si="1"/>
        <v>0</v>
      </c>
      <c r="AA13" s="846">
        <f t="shared" si="1"/>
        <v>0</v>
      </c>
      <c r="AB13" s="846">
        <f t="shared" si="1"/>
        <v>0</v>
      </c>
      <c r="AC13" s="846">
        <f t="shared" si="1"/>
        <v>0</v>
      </c>
      <c r="AD13" s="846">
        <f t="shared" si="1"/>
        <v>0</v>
      </c>
      <c r="AE13" s="846">
        <f t="shared" si="1"/>
        <v>0</v>
      </c>
      <c r="AF13" s="846">
        <f t="shared" si="1"/>
        <v>0</v>
      </c>
      <c r="AG13" s="846">
        <f t="shared" si="1"/>
        <v>0</v>
      </c>
      <c r="AH13" s="846">
        <f t="shared" si="1"/>
        <v>0</v>
      </c>
      <c r="AI13" s="846">
        <f t="shared" si="1"/>
        <v>0</v>
      </c>
      <c r="AJ13" s="846">
        <f t="shared" si="1"/>
        <v>0</v>
      </c>
      <c r="AK13" s="846">
        <f t="shared" si="1"/>
        <v>0</v>
      </c>
      <c r="AL13" s="846">
        <f t="shared" si="1"/>
        <v>0</v>
      </c>
      <c r="AM13" s="846">
        <f t="shared" si="1"/>
        <v>0</v>
      </c>
      <c r="AN13" s="846">
        <f t="shared" si="1"/>
        <v>0</v>
      </c>
      <c r="AO13" s="846"/>
      <c r="AP13" s="846"/>
      <c r="AQ13" s="846">
        <f t="shared" si="1"/>
        <v>0</v>
      </c>
      <c r="AR13" s="846">
        <f t="shared" si="1"/>
        <v>0</v>
      </c>
      <c r="AS13" s="846">
        <f t="shared" si="1"/>
        <v>0</v>
      </c>
    </row>
    <row r="14" spans="1:47">
      <c r="A14" s="846" t="s">
        <v>953</v>
      </c>
      <c r="B14" s="846">
        <f>Ettev_kalk!E80</f>
        <v>0</v>
      </c>
      <c r="C14" s="846">
        <f>Ettev_kalk!F80</f>
        <v>0</v>
      </c>
      <c r="D14" s="846">
        <f>Ettev_kalk!G80</f>
        <v>0</v>
      </c>
      <c r="E14" s="846">
        <f>Ettev_kalk!H80</f>
        <v>0</v>
      </c>
      <c r="F14" s="846">
        <f>Ettev_kalk!I80</f>
        <v>0</v>
      </c>
      <c r="G14" s="846">
        <f>Ettev_kalk!J80</f>
        <v>0</v>
      </c>
      <c r="H14" s="846">
        <f>Ettev_kalk!K80</f>
        <v>0</v>
      </c>
      <c r="I14" s="846">
        <f>Ettev_kalk!L80</f>
        <v>0</v>
      </c>
      <c r="J14" s="846">
        <f>Ettev_kalk!M80</f>
        <v>0</v>
      </c>
      <c r="K14" s="846">
        <f>Ettev_kalk!N80</f>
        <v>0</v>
      </c>
      <c r="L14" s="846">
        <f>Ettev_kalk!O80</f>
        <v>0</v>
      </c>
      <c r="M14" s="846">
        <f>Ettev_kalk!P80</f>
        <v>0</v>
      </c>
      <c r="N14" s="846">
        <f>Ettev_kalk!Q80</f>
        <v>0</v>
      </c>
      <c r="O14" s="846">
        <f>Ettev_kalk!R80</f>
        <v>0</v>
      </c>
      <c r="P14" s="846">
        <f>Ettev_kalk!S80</f>
        <v>0</v>
      </c>
      <c r="Q14" s="846">
        <f>Ettev_kalk!T80</f>
        <v>0</v>
      </c>
      <c r="R14" s="846">
        <f>Ettev_kalk!U80</f>
        <v>0</v>
      </c>
      <c r="S14" s="846">
        <f>Ettev_kalk!V80</f>
        <v>0</v>
      </c>
      <c r="T14" s="846">
        <f>Ettev_kalk!W80</f>
        <v>0</v>
      </c>
      <c r="U14" s="846">
        <f>Ettev_kalk!X80</f>
        <v>0</v>
      </c>
      <c r="V14" s="846"/>
      <c r="W14" s="846"/>
      <c r="X14" s="846">
        <f>Ettev_kalk!Y80</f>
        <v>0</v>
      </c>
      <c r="Y14" s="846">
        <f>Ettev_kalk!Z80</f>
        <v>0</v>
      </c>
      <c r="Z14" s="846">
        <f>Ettev_kalk!AA80</f>
        <v>0</v>
      </c>
      <c r="AA14" s="846">
        <f>Ettev_kalk!AB80</f>
        <v>0</v>
      </c>
      <c r="AB14" s="846">
        <f>Ettev_kalk!AC80</f>
        <v>0</v>
      </c>
      <c r="AC14" s="846">
        <f>Ettev_kalk!AD80</f>
        <v>0</v>
      </c>
      <c r="AD14" s="846">
        <f>Ettev_kalk!AE80</f>
        <v>0</v>
      </c>
      <c r="AE14" s="846">
        <f>Ettev_kalk!AF80</f>
        <v>0</v>
      </c>
      <c r="AF14" s="846">
        <f>Ettev_kalk!AG80</f>
        <v>0</v>
      </c>
      <c r="AG14" s="846">
        <f>Ettev_kalk!AH80</f>
        <v>0</v>
      </c>
      <c r="AH14" s="846">
        <f>Ettev_kalk!AI80</f>
        <v>0</v>
      </c>
      <c r="AI14" s="846">
        <f>Ettev_kalk!AJ80</f>
        <v>0</v>
      </c>
      <c r="AJ14" s="846">
        <f>Ettev_kalk!AK80</f>
        <v>0</v>
      </c>
      <c r="AK14" s="846">
        <f>Ettev_kalk!AL80</f>
        <v>0</v>
      </c>
      <c r="AL14" s="846">
        <f>Ettev_kalk!AM80</f>
        <v>0</v>
      </c>
      <c r="AM14" s="846">
        <f>Ettev_kalk!AN80</f>
        <v>0</v>
      </c>
      <c r="AN14" s="846">
        <f>Ettev_kalk!AO80</f>
        <v>0</v>
      </c>
      <c r="AO14" s="846"/>
      <c r="AP14" s="846"/>
      <c r="AQ14" s="846">
        <f>Ettev_kalk!AP80</f>
        <v>0</v>
      </c>
      <c r="AR14" s="846">
        <f>Ettev_kalk!AQ80</f>
        <v>0</v>
      </c>
      <c r="AS14" s="846">
        <f>Ettev_kalk!AR80</f>
        <v>0</v>
      </c>
    </row>
    <row r="15" spans="1:47">
      <c r="A15" s="846" t="s">
        <v>954</v>
      </c>
      <c r="B15" s="846">
        <f>B14*(44/28)*265</f>
        <v>0</v>
      </c>
      <c r="C15" s="846">
        <f t="shared" ref="C15:AS15" si="2">C14*(44/28)*265</f>
        <v>0</v>
      </c>
      <c r="D15" s="846">
        <f t="shared" si="2"/>
        <v>0</v>
      </c>
      <c r="E15" s="846">
        <f t="shared" si="2"/>
        <v>0</v>
      </c>
      <c r="F15" s="846">
        <f t="shared" si="2"/>
        <v>0</v>
      </c>
      <c r="G15" s="846">
        <f t="shared" si="2"/>
        <v>0</v>
      </c>
      <c r="H15" s="846">
        <f t="shared" si="2"/>
        <v>0</v>
      </c>
      <c r="I15" s="846">
        <f t="shared" si="2"/>
        <v>0</v>
      </c>
      <c r="J15" s="846">
        <f t="shared" si="2"/>
        <v>0</v>
      </c>
      <c r="K15" s="846">
        <f t="shared" si="2"/>
        <v>0</v>
      </c>
      <c r="L15" s="846">
        <f t="shared" si="2"/>
        <v>0</v>
      </c>
      <c r="M15" s="846">
        <f t="shared" si="2"/>
        <v>0</v>
      </c>
      <c r="N15" s="846">
        <f t="shared" si="2"/>
        <v>0</v>
      </c>
      <c r="O15" s="846">
        <f t="shared" si="2"/>
        <v>0</v>
      </c>
      <c r="P15" s="846">
        <f t="shared" si="2"/>
        <v>0</v>
      </c>
      <c r="Q15" s="846">
        <f t="shared" si="2"/>
        <v>0</v>
      </c>
      <c r="R15" s="846">
        <f t="shared" si="2"/>
        <v>0</v>
      </c>
      <c r="S15" s="846">
        <f t="shared" si="2"/>
        <v>0</v>
      </c>
      <c r="T15" s="846">
        <f t="shared" si="2"/>
        <v>0</v>
      </c>
      <c r="U15" s="846">
        <f t="shared" si="2"/>
        <v>0</v>
      </c>
      <c r="V15" s="846"/>
      <c r="W15" s="846"/>
      <c r="X15" s="846">
        <f t="shared" si="2"/>
        <v>0</v>
      </c>
      <c r="Y15" s="846">
        <f t="shared" si="2"/>
        <v>0</v>
      </c>
      <c r="Z15" s="846">
        <f t="shared" si="2"/>
        <v>0</v>
      </c>
      <c r="AA15" s="846">
        <f t="shared" si="2"/>
        <v>0</v>
      </c>
      <c r="AB15" s="846">
        <f t="shared" si="2"/>
        <v>0</v>
      </c>
      <c r="AC15" s="846">
        <f t="shared" si="2"/>
        <v>0</v>
      </c>
      <c r="AD15" s="846">
        <f t="shared" si="2"/>
        <v>0</v>
      </c>
      <c r="AE15" s="846">
        <f t="shared" si="2"/>
        <v>0</v>
      </c>
      <c r="AF15" s="846">
        <f t="shared" si="2"/>
        <v>0</v>
      </c>
      <c r="AG15" s="846">
        <f t="shared" si="2"/>
        <v>0</v>
      </c>
      <c r="AH15" s="846">
        <f t="shared" si="2"/>
        <v>0</v>
      </c>
      <c r="AI15" s="846">
        <f t="shared" si="2"/>
        <v>0</v>
      </c>
      <c r="AJ15" s="846">
        <f t="shared" si="2"/>
        <v>0</v>
      </c>
      <c r="AK15" s="846">
        <f t="shared" si="2"/>
        <v>0</v>
      </c>
      <c r="AL15" s="846">
        <f t="shared" si="2"/>
        <v>0</v>
      </c>
      <c r="AM15" s="846">
        <f t="shared" si="2"/>
        <v>0</v>
      </c>
      <c r="AN15" s="846">
        <f t="shared" si="2"/>
        <v>0</v>
      </c>
      <c r="AO15" s="846"/>
      <c r="AP15" s="846"/>
      <c r="AQ15" s="846">
        <f t="shared" si="2"/>
        <v>0</v>
      </c>
      <c r="AR15" s="846">
        <f t="shared" si="2"/>
        <v>0</v>
      </c>
      <c r="AS15" s="846">
        <f t="shared" si="2"/>
        <v>0</v>
      </c>
    </row>
    <row r="16" spans="1:47">
      <c r="A16" s="846" t="s">
        <v>955</v>
      </c>
      <c r="B16" s="846">
        <f>Ettev_kalk!E90</f>
        <v>0</v>
      </c>
      <c r="C16" s="846">
        <f>Ettev_kalk!F90</f>
        <v>0</v>
      </c>
      <c r="D16" s="846">
        <f>Ettev_kalk!G90</f>
        <v>0</v>
      </c>
      <c r="E16" s="846">
        <f>Ettev_kalk!H90</f>
        <v>0</v>
      </c>
      <c r="F16" s="846">
        <f>Ettev_kalk!I90</f>
        <v>0</v>
      </c>
      <c r="G16" s="846">
        <f>Ettev_kalk!J90</f>
        <v>0</v>
      </c>
      <c r="H16" s="846">
        <f>Ettev_kalk!K90</f>
        <v>0</v>
      </c>
      <c r="I16" s="846">
        <f>Ettev_kalk!L90</f>
        <v>0</v>
      </c>
      <c r="J16" s="846">
        <f>Ettev_kalk!M90</f>
        <v>0</v>
      </c>
      <c r="K16" s="846">
        <f>Ettev_kalk!N90</f>
        <v>0</v>
      </c>
      <c r="L16" s="846">
        <f>Ettev_kalk!O90</f>
        <v>0</v>
      </c>
      <c r="M16" s="846">
        <f>Ettev_kalk!P90</f>
        <v>0</v>
      </c>
      <c r="N16" s="846">
        <f>Ettev_kalk!Q90</f>
        <v>0</v>
      </c>
      <c r="O16" s="846">
        <f>Ettev_kalk!R90</f>
        <v>0</v>
      </c>
      <c r="P16" s="846">
        <f>Ettev_kalk!S90</f>
        <v>0</v>
      </c>
      <c r="Q16" s="846">
        <f>Ettev_kalk!T90</f>
        <v>0</v>
      </c>
      <c r="R16" s="846">
        <f>Ettev_kalk!U90</f>
        <v>0</v>
      </c>
      <c r="S16" s="846">
        <f>Ettev_kalk!V90</f>
        <v>0</v>
      </c>
      <c r="T16" s="846">
        <f>Ettev_kalk!W90</f>
        <v>0</v>
      </c>
      <c r="U16" s="846">
        <f>Ettev_kalk!X90</f>
        <v>0</v>
      </c>
      <c r="V16" s="846"/>
      <c r="W16" s="846"/>
      <c r="X16" s="846">
        <f>Ettev_kalk!Y90</f>
        <v>0</v>
      </c>
      <c r="Y16" s="846">
        <f>Ettev_kalk!Z90</f>
        <v>0</v>
      </c>
      <c r="Z16" s="846">
        <f>Ettev_kalk!AA90</f>
        <v>0</v>
      </c>
      <c r="AA16" s="846">
        <f>Ettev_kalk!AB90</f>
        <v>0</v>
      </c>
      <c r="AB16" s="846">
        <f>Ettev_kalk!AC90</f>
        <v>0</v>
      </c>
      <c r="AC16" s="846">
        <f>Ettev_kalk!AD90</f>
        <v>0</v>
      </c>
      <c r="AD16" s="846">
        <f>Ettev_kalk!AE90</f>
        <v>0</v>
      </c>
      <c r="AE16" s="846">
        <f>Ettev_kalk!AF90</f>
        <v>0</v>
      </c>
      <c r="AF16" s="846">
        <f>Ettev_kalk!AG90</f>
        <v>0</v>
      </c>
      <c r="AG16" s="846">
        <f>Ettev_kalk!AH90</f>
        <v>0</v>
      </c>
      <c r="AH16" s="846">
        <f>Ettev_kalk!AI90</f>
        <v>0</v>
      </c>
      <c r="AI16" s="846">
        <f>Ettev_kalk!AJ90</f>
        <v>0</v>
      </c>
      <c r="AJ16" s="846">
        <f>Ettev_kalk!AK90</f>
        <v>0</v>
      </c>
      <c r="AK16" s="846">
        <f>Ettev_kalk!AL90</f>
        <v>0</v>
      </c>
      <c r="AL16" s="846">
        <f>Ettev_kalk!AM90</f>
        <v>0</v>
      </c>
      <c r="AM16" s="846">
        <f>Ettev_kalk!AN90</f>
        <v>0</v>
      </c>
      <c r="AN16" s="846">
        <f>Ettev_kalk!AO90</f>
        <v>0</v>
      </c>
      <c r="AO16" s="846"/>
      <c r="AP16" s="846"/>
      <c r="AQ16" s="846">
        <f>Ettev_kalk!AP90</f>
        <v>0</v>
      </c>
      <c r="AR16" s="846">
        <f>Ettev_kalk!AQ90</f>
        <v>0</v>
      </c>
      <c r="AS16" s="846">
        <f>Ettev_kalk!AR90</f>
        <v>0</v>
      </c>
    </row>
    <row r="17" spans="1:100">
      <c r="A17" s="846" t="s">
        <v>956</v>
      </c>
      <c r="B17" s="846">
        <f>B16*(44/28)*265</f>
        <v>0</v>
      </c>
      <c r="C17" s="846">
        <f t="shared" ref="C17:AS17" si="3">C16*(44/28)*265</f>
        <v>0</v>
      </c>
      <c r="D17" s="846">
        <f t="shared" si="3"/>
        <v>0</v>
      </c>
      <c r="E17" s="846">
        <f t="shared" si="3"/>
        <v>0</v>
      </c>
      <c r="F17" s="846">
        <f t="shared" si="3"/>
        <v>0</v>
      </c>
      <c r="G17" s="846">
        <f t="shared" si="3"/>
        <v>0</v>
      </c>
      <c r="H17" s="846">
        <f t="shared" si="3"/>
        <v>0</v>
      </c>
      <c r="I17" s="846">
        <f t="shared" si="3"/>
        <v>0</v>
      </c>
      <c r="J17" s="846">
        <f t="shared" si="3"/>
        <v>0</v>
      </c>
      <c r="K17" s="846">
        <f t="shared" si="3"/>
        <v>0</v>
      </c>
      <c r="L17" s="846">
        <f t="shared" si="3"/>
        <v>0</v>
      </c>
      <c r="M17" s="846">
        <f t="shared" si="3"/>
        <v>0</v>
      </c>
      <c r="N17" s="846">
        <f t="shared" si="3"/>
        <v>0</v>
      </c>
      <c r="O17" s="846">
        <f t="shared" si="3"/>
        <v>0</v>
      </c>
      <c r="P17" s="846">
        <f t="shared" si="3"/>
        <v>0</v>
      </c>
      <c r="Q17" s="846">
        <f t="shared" si="3"/>
        <v>0</v>
      </c>
      <c r="R17" s="846">
        <f t="shared" si="3"/>
        <v>0</v>
      </c>
      <c r="S17" s="846">
        <f t="shared" si="3"/>
        <v>0</v>
      </c>
      <c r="T17" s="846">
        <f t="shared" si="3"/>
        <v>0</v>
      </c>
      <c r="U17" s="846">
        <f t="shared" si="3"/>
        <v>0</v>
      </c>
      <c r="V17" s="846"/>
      <c r="W17" s="846"/>
      <c r="X17" s="846">
        <f t="shared" si="3"/>
        <v>0</v>
      </c>
      <c r="Y17" s="846">
        <f t="shared" si="3"/>
        <v>0</v>
      </c>
      <c r="Z17" s="846">
        <f t="shared" si="3"/>
        <v>0</v>
      </c>
      <c r="AA17" s="846">
        <f t="shared" si="3"/>
        <v>0</v>
      </c>
      <c r="AB17" s="846">
        <f t="shared" si="3"/>
        <v>0</v>
      </c>
      <c r="AC17" s="846">
        <f t="shared" si="3"/>
        <v>0</v>
      </c>
      <c r="AD17" s="846">
        <f t="shared" si="3"/>
        <v>0</v>
      </c>
      <c r="AE17" s="846">
        <f t="shared" si="3"/>
        <v>0</v>
      </c>
      <c r="AF17" s="846">
        <f t="shared" si="3"/>
        <v>0</v>
      </c>
      <c r="AG17" s="846">
        <f t="shared" si="3"/>
        <v>0</v>
      </c>
      <c r="AH17" s="846">
        <f t="shared" si="3"/>
        <v>0</v>
      </c>
      <c r="AI17" s="846">
        <f t="shared" si="3"/>
        <v>0</v>
      </c>
      <c r="AJ17" s="846">
        <f t="shared" si="3"/>
        <v>0</v>
      </c>
      <c r="AK17" s="846">
        <f t="shared" si="3"/>
        <v>0</v>
      </c>
      <c r="AL17" s="846">
        <f t="shared" si="3"/>
        <v>0</v>
      </c>
      <c r="AM17" s="846">
        <f t="shared" si="3"/>
        <v>0</v>
      </c>
      <c r="AN17" s="846">
        <f t="shared" si="3"/>
        <v>0</v>
      </c>
      <c r="AO17" s="846"/>
      <c r="AP17" s="846"/>
      <c r="AQ17" s="846">
        <f t="shared" si="3"/>
        <v>0</v>
      </c>
      <c r="AR17" s="846">
        <f t="shared" si="3"/>
        <v>0</v>
      </c>
      <c r="AS17" s="846">
        <f t="shared" si="3"/>
        <v>0</v>
      </c>
    </row>
    <row r="18" spans="1:100">
      <c r="A18" s="846" t="s">
        <v>957</v>
      </c>
      <c r="B18" s="846">
        <f>B5*B4</f>
        <v>0</v>
      </c>
      <c r="C18" s="846">
        <f t="shared" ref="C18:AS18" si="4">C5*C4</f>
        <v>0</v>
      </c>
      <c r="D18" s="846">
        <f t="shared" si="4"/>
        <v>0</v>
      </c>
      <c r="E18" s="846">
        <f t="shared" si="4"/>
        <v>0</v>
      </c>
      <c r="F18" s="846">
        <f t="shared" si="4"/>
        <v>0</v>
      </c>
      <c r="G18" s="846">
        <f t="shared" si="4"/>
        <v>0</v>
      </c>
      <c r="H18" s="846">
        <f t="shared" si="4"/>
        <v>0</v>
      </c>
      <c r="I18" s="846">
        <f t="shared" si="4"/>
        <v>0</v>
      </c>
      <c r="J18" s="846">
        <f t="shared" si="4"/>
        <v>0</v>
      </c>
      <c r="K18" s="846">
        <f t="shared" si="4"/>
        <v>0</v>
      </c>
      <c r="L18" s="846">
        <f t="shared" si="4"/>
        <v>0</v>
      </c>
      <c r="M18" s="846">
        <f t="shared" si="4"/>
        <v>0</v>
      </c>
      <c r="N18" s="846">
        <f t="shared" si="4"/>
        <v>0</v>
      </c>
      <c r="O18" s="846">
        <f t="shared" si="4"/>
        <v>0</v>
      </c>
      <c r="P18" s="846">
        <f t="shared" si="4"/>
        <v>0</v>
      </c>
      <c r="Q18" s="846">
        <f t="shared" si="4"/>
        <v>0</v>
      </c>
      <c r="R18" s="846">
        <f t="shared" si="4"/>
        <v>0</v>
      </c>
      <c r="S18" s="846">
        <f t="shared" si="4"/>
        <v>0</v>
      </c>
      <c r="T18" s="846">
        <f t="shared" si="4"/>
        <v>0</v>
      </c>
      <c r="U18" s="846">
        <f t="shared" si="4"/>
        <v>0</v>
      </c>
      <c r="V18" s="846"/>
      <c r="W18" s="846"/>
      <c r="X18" s="846">
        <f t="shared" si="4"/>
        <v>0</v>
      </c>
      <c r="Y18" s="846">
        <f t="shared" si="4"/>
        <v>0</v>
      </c>
      <c r="Z18" s="846">
        <f t="shared" si="4"/>
        <v>0</v>
      </c>
      <c r="AA18" s="846">
        <f t="shared" si="4"/>
        <v>0</v>
      </c>
      <c r="AB18" s="846">
        <f t="shared" si="4"/>
        <v>0</v>
      </c>
      <c r="AC18" s="846">
        <f t="shared" si="4"/>
        <v>0</v>
      </c>
      <c r="AD18" s="846">
        <f t="shared" si="4"/>
        <v>0</v>
      </c>
      <c r="AE18" s="846">
        <f t="shared" si="4"/>
        <v>0</v>
      </c>
      <c r="AF18" s="846">
        <f t="shared" si="4"/>
        <v>0</v>
      </c>
      <c r="AG18" s="846">
        <f t="shared" si="4"/>
        <v>0</v>
      </c>
      <c r="AH18" s="846">
        <f t="shared" si="4"/>
        <v>0</v>
      </c>
      <c r="AI18" s="846">
        <f t="shared" si="4"/>
        <v>0</v>
      </c>
      <c r="AJ18" s="846">
        <f t="shared" si="4"/>
        <v>0</v>
      </c>
      <c r="AK18" s="846">
        <f t="shared" si="4"/>
        <v>0</v>
      </c>
      <c r="AL18" s="846">
        <f t="shared" si="4"/>
        <v>0</v>
      </c>
      <c r="AM18" s="846">
        <f t="shared" si="4"/>
        <v>0</v>
      </c>
      <c r="AN18" s="846">
        <f t="shared" si="4"/>
        <v>0</v>
      </c>
      <c r="AO18" s="846"/>
      <c r="AP18" s="846"/>
      <c r="AQ18" s="846">
        <f t="shared" si="4"/>
        <v>0</v>
      </c>
      <c r="AR18" s="846">
        <f t="shared" si="4"/>
        <v>0</v>
      </c>
      <c r="AS18" s="846">
        <f t="shared" si="4"/>
        <v>0</v>
      </c>
    </row>
    <row r="19" spans="1:100">
      <c r="A19" s="846" t="s">
        <v>958</v>
      </c>
      <c r="B19" s="846">
        <f>SUM($B$18:$AS$18)</f>
        <v>0</v>
      </c>
      <c r="C19" s="846">
        <f t="shared" ref="C19:AS19" si="5">SUM($B$18:$AS$18)</f>
        <v>0</v>
      </c>
      <c r="D19" s="846">
        <f t="shared" si="5"/>
        <v>0</v>
      </c>
      <c r="E19" s="846">
        <f t="shared" si="5"/>
        <v>0</v>
      </c>
      <c r="F19" s="846">
        <f t="shared" si="5"/>
        <v>0</v>
      </c>
      <c r="G19" s="846">
        <f t="shared" si="5"/>
        <v>0</v>
      </c>
      <c r="H19" s="846">
        <f t="shared" si="5"/>
        <v>0</v>
      </c>
      <c r="I19" s="846">
        <f t="shared" si="5"/>
        <v>0</v>
      </c>
      <c r="J19" s="846">
        <f t="shared" si="5"/>
        <v>0</v>
      </c>
      <c r="K19" s="846">
        <f t="shared" si="5"/>
        <v>0</v>
      </c>
      <c r="L19" s="846">
        <f t="shared" si="5"/>
        <v>0</v>
      </c>
      <c r="M19" s="846">
        <f t="shared" si="5"/>
        <v>0</v>
      </c>
      <c r="N19" s="846">
        <f t="shared" si="5"/>
        <v>0</v>
      </c>
      <c r="O19" s="846">
        <f t="shared" si="5"/>
        <v>0</v>
      </c>
      <c r="P19" s="846">
        <f t="shared" si="5"/>
        <v>0</v>
      </c>
      <c r="Q19" s="846">
        <f t="shared" si="5"/>
        <v>0</v>
      </c>
      <c r="R19" s="846">
        <f t="shared" si="5"/>
        <v>0</v>
      </c>
      <c r="S19" s="846">
        <f t="shared" si="5"/>
        <v>0</v>
      </c>
      <c r="T19" s="846">
        <f t="shared" si="5"/>
        <v>0</v>
      </c>
      <c r="U19" s="846">
        <f t="shared" si="5"/>
        <v>0</v>
      </c>
      <c r="V19" s="846"/>
      <c r="W19" s="846"/>
      <c r="X19" s="846">
        <f t="shared" si="5"/>
        <v>0</v>
      </c>
      <c r="Y19" s="846">
        <f t="shared" si="5"/>
        <v>0</v>
      </c>
      <c r="Z19" s="846">
        <f t="shared" si="5"/>
        <v>0</v>
      </c>
      <c r="AA19" s="846">
        <f t="shared" si="5"/>
        <v>0</v>
      </c>
      <c r="AB19" s="846">
        <f t="shared" si="5"/>
        <v>0</v>
      </c>
      <c r="AC19" s="846">
        <f t="shared" si="5"/>
        <v>0</v>
      </c>
      <c r="AD19" s="846">
        <f t="shared" si="5"/>
        <v>0</v>
      </c>
      <c r="AE19" s="846">
        <f t="shared" si="5"/>
        <v>0</v>
      </c>
      <c r="AF19" s="846">
        <f t="shared" si="5"/>
        <v>0</v>
      </c>
      <c r="AG19" s="846">
        <f t="shared" si="5"/>
        <v>0</v>
      </c>
      <c r="AH19" s="846">
        <f t="shared" si="5"/>
        <v>0</v>
      </c>
      <c r="AI19" s="846">
        <f t="shared" si="5"/>
        <v>0</v>
      </c>
      <c r="AJ19" s="846">
        <f t="shared" si="5"/>
        <v>0</v>
      </c>
      <c r="AK19" s="846">
        <f t="shared" si="5"/>
        <v>0</v>
      </c>
      <c r="AL19" s="846">
        <f t="shared" si="5"/>
        <v>0</v>
      </c>
      <c r="AM19" s="846">
        <f t="shared" si="5"/>
        <v>0</v>
      </c>
      <c r="AN19" s="846">
        <f t="shared" si="5"/>
        <v>0</v>
      </c>
      <c r="AO19" s="846"/>
      <c r="AP19" s="846"/>
      <c r="AQ19" s="846">
        <f t="shared" si="5"/>
        <v>0</v>
      </c>
      <c r="AR19" s="846">
        <f t="shared" si="5"/>
        <v>0</v>
      </c>
      <c r="AS19" s="846">
        <f t="shared" si="5"/>
        <v>0</v>
      </c>
    </row>
    <row r="20" spans="1:100">
      <c r="A20" s="846" t="s">
        <v>959</v>
      </c>
      <c r="B20" s="846" t="e">
        <f>B18/B19</f>
        <v>#DIV/0!</v>
      </c>
      <c r="C20" s="846" t="e">
        <f t="shared" ref="C20:AS20" si="6">C18/C19</f>
        <v>#DIV/0!</v>
      </c>
      <c r="D20" s="846" t="e">
        <f t="shared" si="6"/>
        <v>#DIV/0!</v>
      </c>
      <c r="E20" s="846" t="e">
        <f t="shared" si="6"/>
        <v>#DIV/0!</v>
      </c>
      <c r="F20" s="846" t="e">
        <f t="shared" si="6"/>
        <v>#DIV/0!</v>
      </c>
      <c r="G20" s="846" t="e">
        <f t="shared" si="6"/>
        <v>#DIV/0!</v>
      </c>
      <c r="H20" s="846" t="e">
        <f t="shared" si="6"/>
        <v>#DIV/0!</v>
      </c>
      <c r="I20" s="846" t="e">
        <f t="shared" si="6"/>
        <v>#DIV/0!</v>
      </c>
      <c r="J20" s="846" t="e">
        <f t="shared" si="6"/>
        <v>#DIV/0!</v>
      </c>
      <c r="K20" s="846" t="e">
        <f t="shared" si="6"/>
        <v>#DIV/0!</v>
      </c>
      <c r="L20" s="846" t="e">
        <f t="shared" si="6"/>
        <v>#DIV/0!</v>
      </c>
      <c r="M20" s="846" t="e">
        <f t="shared" si="6"/>
        <v>#DIV/0!</v>
      </c>
      <c r="N20" s="846" t="e">
        <f t="shared" si="6"/>
        <v>#DIV/0!</v>
      </c>
      <c r="O20" s="846" t="e">
        <f t="shared" si="6"/>
        <v>#DIV/0!</v>
      </c>
      <c r="P20" s="846" t="e">
        <f t="shared" si="6"/>
        <v>#DIV/0!</v>
      </c>
      <c r="Q20" s="846" t="e">
        <f t="shared" si="6"/>
        <v>#DIV/0!</v>
      </c>
      <c r="R20" s="846" t="e">
        <f t="shared" si="6"/>
        <v>#DIV/0!</v>
      </c>
      <c r="S20" s="846" t="e">
        <f t="shared" si="6"/>
        <v>#DIV/0!</v>
      </c>
      <c r="T20" s="846" t="e">
        <f t="shared" si="6"/>
        <v>#DIV/0!</v>
      </c>
      <c r="U20" s="846" t="e">
        <f t="shared" si="6"/>
        <v>#DIV/0!</v>
      </c>
      <c r="V20" s="846"/>
      <c r="W20" s="846"/>
      <c r="X20" s="846" t="e">
        <f t="shared" si="6"/>
        <v>#DIV/0!</v>
      </c>
      <c r="Y20" s="846" t="e">
        <f t="shared" si="6"/>
        <v>#DIV/0!</v>
      </c>
      <c r="Z20" s="846" t="e">
        <f t="shared" si="6"/>
        <v>#DIV/0!</v>
      </c>
      <c r="AA20" s="846" t="e">
        <f t="shared" si="6"/>
        <v>#DIV/0!</v>
      </c>
      <c r="AB20" s="846" t="e">
        <f t="shared" si="6"/>
        <v>#DIV/0!</v>
      </c>
      <c r="AC20" s="846" t="e">
        <f t="shared" si="6"/>
        <v>#DIV/0!</v>
      </c>
      <c r="AD20" s="846" t="e">
        <f t="shared" si="6"/>
        <v>#DIV/0!</v>
      </c>
      <c r="AE20" s="846" t="e">
        <f t="shared" si="6"/>
        <v>#DIV/0!</v>
      </c>
      <c r="AF20" s="846" t="e">
        <f t="shared" si="6"/>
        <v>#DIV/0!</v>
      </c>
      <c r="AG20" s="846" t="e">
        <f t="shared" si="6"/>
        <v>#DIV/0!</v>
      </c>
      <c r="AH20" s="846" t="e">
        <f t="shared" si="6"/>
        <v>#DIV/0!</v>
      </c>
      <c r="AI20" s="846" t="e">
        <f t="shared" si="6"/>
        <v>#DIV/0!</v>
      </c>
      <c r="AJ20" s="846" t="e">
        <f t="shared" si="6"/>
        <v>#DIV/0!</v>
      </c>
      <c r="AK20" s="846" t="e">
        <f t="shared" si="6"/>
        <v>#DIV/0!</v>
      </c>
      <c r="AL20" s="846" t="e">
        <f t="shared" si="6"/>
        <v>#DIV/0!</v>
      </c>
      <c r="AM20" s="846" t="e">
        <f t="shared" si="6"/>
        <v>#DIV/0!</v>
      </c>
      <c r="AN20" s="846" t="e">
        <f t="shared" si="6"/>
        <v>#DIV/0!</v>
      </c>
      <c r="AO20" s="846"/>
      <c r="AP20" s="846"/>
      <c r="AQ20" s="846" t="e">
        <f t="shared" si="6"/>
        <v>#DIV/0!</v>
      </c>
      <c r="AR20" s="846" t="e">
        <f t="shared" si="6"/>
        <v>#DIV/0!</v>
      </c>
      <c r="AS20" s="846" t="e">
        <f t="shared" si="6"/>
        <v>#DIV/0!</v>
      </c>
      <c r="CU20" t="s">
        <v>19</v>
      </c>
      <c r="CV20" t="s">
        <v>960</v>
      </c>
    </row>
    <row r="21" spans="1:100">
      <c r="A21" s="846" t="s">
        <v>489</v>
      </c>
      <c r="B21" s="846" t="e">
        <f>'Ettevõttepõhine jalajälg'!$H$17*1000*Tootep_kalk!B20</f>
        <v>#DIV/0!</v>
      </c>
      <c r="C21" s="846" t="e">
        <f>'Ettevõttepõhine jalajälg'!$H$17*1000*Tootep_kalk!C20</f>
        <v>#DIV/0!</v>
      </c>
      <c r="D21" s="846" t="e">
        <f>'Ettevõttepõhine jalajälg'!$H$17*1000*Tootep_kalk!D20</f>
        <v>#DIV/0!</v>
      </c>
      <c r="E21" s="846" t="e">
        <f>'Ettevõttepõhine jalajälg'!$H$17*1000*Tootep_kalk!E20</f>
        <v>#DIV/0!</v>
      </c>
      <c r="F21" s="846" t="e">
        <f>'Ettevõttepõhine jalajälg'!$H$17*1000*Tootep_kalk!F20</f>
        <v>#DIV/0!</v>
      </c>
      <c r="G21" s="846" t="e">
        <f>'Ettevõttepõhine jalajälg'!$H$17*1000*Tootep_kalk!G20</f>
        <v>#DIV/0!</v>
      </c>
      <c r="H21" s="846" t="e">
        <f>'Ettevõttepõhine jalajälg'!$H$17*1000*Tootep_kalk!H20</f>
        <v>#DIV/0!</v>
      </c>
      <c r="I21" s="846" t="e">
        <f>'Ettevõttepõhine jalajälg'!$H$17*1000*Tootep_kalk!I20</f>
        <v>#DIV/0!</v>
      </c>
      <c r="J21" s="846" t="e">
        <f>'Ettevõttepõhine jalajälg'!$H$17*1000*Tootep_kalk!J20</f>
        <v>#DIV/0!</v>
      </c>
      <c r="K21" s="846" t="e">
        <f>'Ettevõttepõhine jalajälg'!$H$17*1000*Tootep_kalk!K20</f>
        <v>#DIV/0!</v>
      </c>
      <c r="L21" s="846" t="e">
        <f>'Ettevõttepõhine jalajälg'!$H$17*1000*Tootep_kalk!L20</f>
        <v>#DIV/0!</v>
      </c>
      <c r="M21" s="846" t="e">
        <f>'Ettevõttepõhine jalajälg'!$H$17*1000*Tootep_kalk!M20</f>
        <v>#DIV/0!</v>
      </c>
      <c r="N21" s="846" t="e">
        <f>'Ettevõttepõhine jalajälg'!$H$17*1000*Tootep_kalk!N20</f>
        <v>#DIV/0!</v>
      </c>
      <c r="O21" s="846" t="e">
        <f>'Ettevõttepõhine jalajälg'!$H$17*1000*Tootep_kalk!O20</f>
        <v>#DIV/0!</v>
      </c>
      <c r="P21" s="846" t="e">
        <f>'Ettevõttepõhine jalajälg'!$H$17*1000*Tootep_kalk!P20</f>
        <v>#DIV/0!</v>
      </c>
      <c r="Q21" s="846" t="e">
        <f>'Ettevõttepõhine jalajälg'!$H$17*1000*Tootep_kalk!Q20</f>
        <v>#DIV/0!</v>
      </c>
      <c r="R21" s="846" t="e">
        <f>'Ettevõttepõhine jalajälg'!$H$17*1000*Tootep_kalk!R20</f>
        <v>#DIV/0!</v>
      </c>
      <c r="S21" s="846" t="e">
        <f>'Ettevõttepõhine jalajälg'!$H$17*1000*Tootep_kalk!S20</f>
        <v>#DIV/0!</v>
      </c>
      <c r="T21" s="846" t="e">
        <f>'Ettevõttepõhine jalajälg'!$H$17*1000*Tootep_kalk!T20</f>
        <v>#DIV/0!</v>
      </c>
      <c r="U21" s="846" t="e">
        <f>'Ettevõttepõhine jalajälg'!$H$17*1000*Tootep_kalk!U20</f>
        <v>#DIV/0!</v>
      </c>
      <c r="V21" s="846">
        <f>'Ettevõttepõhine jalajälg'!$H$17*1000*Tootep_kalk!V20</f>
        <v>0</v>
      </c>
      <c r="W21" s="846">
        <f>'Ettevõttepõhine jalajälg'!$H$17*1000*Tootep_kalk!W20</f>
        <v>0</v>
      </c>
      <c r="X21" s="846" t="e">
        <f>'Ettevõttepõhine jalajälg'!$H$17*1000*Tootep_kalk!X20</f>
        <v>#DIV/0!</v>
      </c>
      <c r="Y21" s="846" t="e">
        <f>'Ettevõttepõhine jalajälg'!$H$17*1000*Tootep_kalk!Y20</f>
        <v>#DIV/0!</v>
      </c>
      <c r="Z21" s="846" t="e">
        <f>'Ettevõttepõhine jalajälg'!$H$17*1000*Tootep_kalk!Z20</f>
        <v>#DIV/0!</v>
      </c>
      <c r="AA21" s="846" t="e">
        <f>'Ettevõttepõhine jalajälg'!$H$17*1000*Tootep_kalk!AA20</f>
        <v>#DIV/0!</v>
      </c>
      <c r="AB21" s="846" t="e">
        <f>'Ettevõttepõhine jalajälg'!$H$17*1000*Tootep_kalk!AB20</f>
        <v>#DIV/0!</v>
      </c>
      <c r="AC21" s="846" t="e">
        <f>'Ettevõttepõhine jalajälg'!$H$17*1000*Tootep_kalk!AC20</f>
        <v>#DIV/0!</v>
      </c>
      <c r="AD21" s="846" t="e">
        <f>'Ettevõttepõhine jalajälg'!$H$17*1000*Tootep_kalk!AD20</f>
        <v>#DIV/0!</v>
      </c>
      <c r="AE21" s="846" t="e">
        <f>'Ettevõttepõhine jalajälg'!$H$17*1000*Tootep_kalk!AE20</f>
        <v>#DIV/0!</v>
      </c>
      <c r="AF21" s="846" t="e">
        <f>'Ettevõttepõhine jalajälg'!$H$17*1000*Tootep_kalk!AF20</f>
        <v>#DIV/0!</v>
      </c>
      <c r="AG21" s="846" t="e">
        <f>'Ettevõttepõhine jalajälg'!$H$17*1000*Tootep_kalk!AG20</f>
        <v>#DIV/0!</v>
      </c>
      <c r="AH21" s="846" t="e">
        <f>'Ettevõttepõhine jalajälg'!$H$17*1000*Tootep_kalk!AH20</f>
        <v>#DIV/0!</v>
      </c>
      <c r="AI21" s="846" t="e">
        <f>'Ettevõttepõhine jalajälg'!$H$17*1000*Tootep_kalk!AI20</f>
        <v>#DIV/0!</v>
      </c>
      <c r="AJ21" s="846" t="e">
        <f>'Ettevõttepõhine jalajälg'!$H$17*1000*Tootep_kalk!AJ20</f>
        <v>#DIV/0!</v>
      </c>
      <c r="AK21" s="846" t="e">
        <f>'Ettevõttepõhine jalajälg'!$H$17*1000*Tootep_kalk!AK20</f>
        <v>#DIV/0!</v>
      </c>
      <c r="AL21" s="846" t="e">
        <f>'Ettevõttepõhine jalajälg'!$H$17*1000*Tootep_kalk!AL20</f>
        <v>#DIV/0!</v>
      </c>
      <c r="AM21" s="846" t="e">
        <f>'Ettevõttepõhine jalajälg'!$H$17*1000*Tootep_kalk!AM20</f>
        <v>#DIV/0!</v>
      </c>
      <c r="AN21" s="846" t="e">
        <f>'Ettevõttepõhine jalajälg'!$H$17*1000*Tootep_kalk!AN20</f>
        <v>#DIV/0!</v>
      </c>
      <c r="AO21" s="846">
        <f>'Ettevõttepõhine jalajälg'!$H$17*1000*Tootep_kalk!AO20</f>
        <v>0</v>
      </c>
      <c r="AP21" s="846">
        <f>'Ettevõttepõhine jalajälg'!$H$17*1000*Tootep_kalk!AP20</f>
        <v>0</v>
      </c>
      <c r="AQ21" s="846" t="e">
        <f>'Ettevõttepõhine jalajälg'!$H$17*1000*Tootep_kalk!AQ20</f>
        <v>#DIV/0!</v>
      </c>
      <c r="AR21" s="846" t="e">
        <f>'Ettevõttepõhine jalajälg'!$H$17*1000*Tootep_kalk!AR20</f>
        <v>#DIV/0!</v>
      </c>
      <c r="AS21" s="846" t="e">
        <f>'Ettevõttepõhine jalajälg'!$H$17*1000*Tootep_kalk!AS20</f>
        <v>#DIV/0!</v>
      </c>
      <c r="CU21" t="s">
        <v>457</v>
      </c>
    </row>
    <row r="22" spans="1:100">
      <c r="A22" s="846" t="s">
        <v>455</v>
      </c>
      <c r="B22" s="846" t="e">
        <f>'Ettevõttepõhine jalajälg'!$H$9*1000*B20</f>
        <v>#DIV/0!</v>
      </c>
      <c r="C22" s="846" t="e">
        <f>'Ettevõttepõhine jalajälg'!$H$9*1000*C20</f>
        <v>#DIV/0!</v>
      </c>
      <c r="D22" s="846" t="e">
        <f>'Ettevõttepõhine jalajälg'!$H$9*1000*D20</f>
        <v>#DIV/0!</v>
      </c>
      <c r="E22" s="846" t="e">
        <f>'Ettevõttepõhine jalajälg'!$H$9*1000*E20</f>
        <v>#DIV/0!</v>
      </c>
      <c r="F22" s="846" t="e">
        <f>'Ettevõttepõhine jalajälg'!$H$9*1000*F20</f>
        <v>#DIV/0!</v>
      </c>
      <c r="G22" s="846" t="e">
        <f>'Ettevõttepõhine jalajälg'!$H$9*1000*G20</f>
        <v>#DIV/0!</v>
      </c>
      <c r="H22" s="846" t="e">
        <f>'Ettevõttepõhine jalajälg'!$H$9*1000*H20</f>
        <v>#DIV/0!</v>
      </c>
      <c r="I22" s="846" t="e">
        <f>'Ettevõttepõhine jalajälg'!$H$9*1000*I20</f>
        <v>#DIV/0!</v>
      </c>
      <c r="J22" s="846" t="e">
        <f>'Ettevõttepõhine jalajälg'!$H$9*1000*J20</f>
        <v>#DIV/0!</v>
      </c>
      <c r="K22" s="846" t="e">
        <f>'Ettevõttepõhine jalajälg'!$H$9*1000*K20</f>
        <v>#DIV/0!</v>
      </c>
      <c r="L22" s="846" t="e">
        <f>'Ettevõttepõhine jalajälg'!$H$9*1000*L20</f>
        <v>#DIV/0!</v>
      </c>
      <c r="M22" s="846" t="e">
        <f>'Ettevõttepõhine jalajälg'!$H$9*1000*M20</f>
        <v>#DIV/0!</v>
      </c>
      <c r="N22" s="846" t="e">
        <f>'Ettevõttepõhine jalajälg'!$H$9*1000*N20</f>
        <v>#DIV/0!</v>
      </c>
      <c r="O22" s="846" t="e">
        <f>'Ettevõttepõhine jalajälg'!$H$9*1000*O20</f>
        <v>#DIV/0!</v>
      </c>
      <c r="P22" s="846" t="e">
        <f>'Ettevõttepõhine jalajälg'!$H$9*1000*P20</f>
        <v>#DIV/0!</v>
      </c>
      <c r="Q22" s="846" t="e">
        <f>'Ettevõttepõhine jalajälg'!$H$9*1000*Q20</f>
        <v>#DIV/0!</v>
      </c>
      <c r="R22" s="846" t="e">
        <f>'Ettevõttepõhine jalajälg'!$H$9*1000*R20</f>
        <v>#DIV/0!</v>
      </c>
      <c r="S22" s="846" t="e">
        <f>'Ettevõttepõhine jalajälg'!$H$9*1000*S20</f>
        <v>#DIV/0!</v>
      </c>
      <c r="T22" s="846" t="e">
        <f>'Ettevõttepõhine jalajälg'!$H$9*1000*T20</f>
        <v>#DIV/0!</v>
      </c>
      <c r="U22" s="846" t="e">
        <f>'Ettevõttepõhine jalajälg'!$H$9*1000*U20</f>
        <v>#DIV/0!</v>
      </c>
      <c r="V22" s="846">
        <f>'Ettevõttepõhine jalajälg'!$H$9*1000*V20</f>
        <v>0</v>
      </c>
      <c r="W22" s="846">
        <f>'Ettevõttepõhine jalajälg'!$H$9*1000*W20</f>
        <v>0</v>
      </c>
      <c r="X22" s="846" t="e">
        <f>'Ettevõttepõhine jalajälg'!$H$9*1000*X20</f>
        <v>#DIV/0!</v>
      </c>
      <c r="Y22" s="846" t="e">
        <f>'Ettevõttepõhine jalajälg'!$H$9*1000*Y20</f>
        <v>#DIV/0!</v>
      </c>
      <c r="Z22" s="846" t="e">
        <f>'Ettevõttepõhine jalajälg'!$H$9*1000*Z20</f>
        <v>#DIV/0!</v>
      </c>
      <c r="AA22" s="846" t="e">
        <f>'Ettevõttepõhine jalajälg'!$H$9*1000*AA20</f>
        <v>#DIV/0!</v>
      </c>
      <c r="AB22" s="846" t="e">
        <f>'Ettevõttepõhine jalajälg'!$H$9*1000*AB20</f>
        <v>#DIV/0!</v>
      </c>
      <c r="AC22" s="846" t="e">
        <f>'Ettevõttepõhine jalajälg'!$H$9*1000*AC20</f>
        <v>#DIV/0!</v>
      </c>
      <c r="AD22" s="846" t="e">
        <f>'Ettevõttepõhine jalajälg'!$H$9*1000*AD20</f>
        <v>#DIV/0!</v>
      </c>
      <c r="AE22" s="846" t="e">
        <f>'Ettevõttepõhine jalajälg'!$H$9*1000*AE20</f>
        <v>#DIV/0!</v>
      </c>
      <c r="AF22" s="846" t="e">
        <f>'Ettevõttepõhine jalajälg'!$H$9*1000*AF20</f>
        <v>#DIV/0!</v>
      </c>
      <c r="AG22" s="846" t="e">
        <f>'Ettevõttepõhine jalajälg'!$H$9*1000*AG20</f>
        <v>#DIV/0!</v>
      </c>
      <c r="AH22" s="846" t="e">
        <f>'Ettevõttepõhine jalajälg'!$H$9*1000*AH20</f>
        <v>#DIV/0!</v>
      </c>
      <c r="AI22" s="846" t="e">
        <f>'Ettevõttepõhine jalajälg'!$H$9*1000*AI20</f>
        <v>#DIV/0!</v>
      </c>
      <c r="AJ22" s="846" t="e">
        <f>'Ettevõttepõhine jalajälg'!$H$9*1000*AJ20</f>
        <v>#DIV/0!</v>
      </c>
      <c r="AK22" s="846" t="e">
        <f>'Ettevõttepõhine jalajälg'!$H$9*1000*AK20</f>
        <v>#DIV/0!</v>
      </c>
      <c r="AL22" s="846" t="e">
        <f>'Ettevõttepõhine jalajälg'!$H$9*1000*AL20</f>
        <v>#DIV/0!</v>
      </c>
      <c r="AM22" s="846" t="e">
        <f>'Ettevõttepõhine jalajälg'!$H$9*1000*AM20</f>
        <v>#DIV/0!</v>
      </c>
      <c r="AN22" s="846" t="e">
        <f>'Ettevõttepõhine jalajälg'!$H$9*1000*AN20</f>
        <v>#DIV/0!</v>
      </c>
      <c r="AO22" s="846">
        <f>'Ettevõttepõhine jalajälg'!$H$9*1000*AO20</f>
        <v>0</v>
      </c>
      <c r="AP22" s="846">
        <f>'Ettevõttepõhine jalajälg'!$H$9*1000*AP20</f>
        <v>0</v>
      </c>
      <c r="AQ22" s="846" t="e">
        <f>'Ettevõttepõhine jalajälg'!$H$9*1000*AQ20</f>
        <v>#DIV/0!</v>
      </c>
      <c r="AR22" s="846" t="e">
        <f>'Ettevõttepõhine jalajälg'!$H$9*1000*AR20</f>
        <v>#DIV/0!</v>
      </c>
      <c r="AS22" s="846" t="e">
        <f>'Ettevõttepõhine jalajälg'!$H$9*1000*AS20</f>
        <v>#DIV/0!</v>
      </c>
      <c r="CU22" t="s">
        <v>457</v>
      </c>
    </row>
    <row r="23" spans="1:100">
      <c r="A23" s="846" t="s">
        <v>961</v>
      </c>
      <c r="B23" s="846">
        <f>Ettev_kalk!E74*(44/12)</f>
        <v>0</v>
      </c>
      <c r="C23" s="846">
        <f>Ettev_kalk!F74*(44/12)</f>
        <v>0</v>
      </c>
      <c r="D23" s="846">
        <f>Ettev_kalk!G74*(44/12)</f>
        <v>0</v>
      </c>
      <c r="E23" s="846">
        <f>Ettev_kalk!H74*(44/12)</f>
        <v>0</v>
      </c>
      <c r="F23" s="846">
        <f>Ettev_kalk!I74*(44/12)</f>
        <v>0</v>
      </c>
      <c r="G23" s="846">
        <f>Ettev_kalk!J74*(44/12)</f>
        <v>0</v>
      </c>
      <c r="H23" s="846">
        <f>Ettev_kalk!K74*(44/12)</f>
        <v>0</v>
      </c>
      <c r="I23" s="846">
        <f>Ettev_kalk!L74*(44/12)</f>
        <v>0</v>
      </c>
      <c r="J23" s="846">
        <f>Ettev_kalk!M74*(44/12)</f>
        <v>0</v>
      </c>
      <c r="K23" s="846">
        <f>Ettev_kalk!N74*(44/12)</f>
        <v>0</v>
      </c>
      <c r="L23" s="846">
        <f>Ettev_kalk!O74*(44/12)</f>
        <v>0</v>
      </c>
      <c r="M23" s="846">
        <f>Ettev_kalk!P74*(44/12)</f>
        <v>0</v>
      </c>
      <c r="N23" s="846">
        <f>Ettev_kalk!Q74*(44/12)</f>
        <v>0</v>
      </c>
      <c r="O23" s="846">
        <f>Ettev_kalk!R74*(44/12)</f>
        <v>0</v>
      </c>
      <c r="P23" s="846">
        <f>Ettev_kalk!S74*(44/12)</f>
        <v>0</v>
      </c>
      <c r="Q23" s="846">
        <f>Ettev_kalk!T74*(44/12)</f>
        <v>0</v>
      </c>
      <c r="R23" s="846">
        <f>Ettev_kalk!U74*(44/12)</f>
        <v>0</v>
      </c>
      <c r="S23" s="846">
        <f>Ettev_kalk!V74*(44/12)</f>
        <v>0</v>
      </c>
      <c r="T23" s="846">
        <f>Ettev_kalk!W74*(44/12)</f>
        <v>0</v>
      </c>
      <c r="U23" s="846">
        <f>Ettev_kalk!X74*(44/12)</f>
        <v>0</v>
      </c>
      <c r="V23" s="846"/>
      <c r="W23" s="846"/>
      <c r="X23" s="846">
        <f>Ettev_kalk!Y74*(44/12)</f>
        <v>0</v>
      </c>
      <c r="Y23" s="846">
        <f>Ettev_kalk!Z74*(44/12)</f>
        <v>0</v>
      </c>
      <c r="Z23" s="846">
        <f>Ettev_kalk!AA74*(44/12)</f>
        <v>0</v>
      </c>
      <c r="AA23" s="846">
        <f>Ettev_kalk!AB74*(44/12)</f>
        <v>0</v>
      </c>
      <c r="AB23" s="846">
        <f>Ettev_kalk!AC74*(44/12)</f>
        <v>0</v>
      </c>
      <c r="AC23" s="846">
        <f>Ettev_kalk!AD74*(44/12)</f>
        <v>0</v>
      </c>
      <c r="AD23" s="846">
        <f>Ettev_kalk!AE74*(44/12)</f>
        <v>0</v>
      </c>
      <c r="AE23" s="846">
        <f>Ettev_kalk!AF74*(44/12)</f>
        <v>0</v>
      </c>
      <c r="AF23" s="846">
        <f>Ettev_kalk!AG74*(44/12)</f>
        <v>0</v>
      </c>
      <c r="AG23" s="846">
        <f>Ettev_kalk!AH74*(44/12)</f>
        <v>0</v>
      </c>
      <c r="AH23" s="846">
        <f>Ettev_kalk!AI74*(44/12)</f>
        <v>0</v>
      </c>
      <c r="AI23" s="846">
        <f>Ettev_kalk!AJ74*(44/12)</f>
        <v>0</v>
      </c>
      <c r="AJ23" s="846">
        <f>Ettev_kalk!AK74*(44/12)</f>
        <v>0</v>
      </c>
      <c r="AK23" s="846">
        <f>Ettev_kalk!AL74*(44/12)</f>
        <v>0</v>
      </c>
      <c r="AL23" s="846">
        <f>Ettev_kalk!AM74*(44/12)</f>
        <v>0</v>
      </c>
      <c r="AM23" s="846">
        <f>Ettev_kalk!AN74*(44/12)</f>
        <v>0</v>
      </c>
      <c r="AN23" s="846">
        <f>Ettev_kalk!AO74*(44/12)</f>
        <v>0</v>
      </c>
      <c r="AO23" s="846"/>
      <c r="AP23" s="846"/>
      <c r="AQ23" s="846">
        <f>Ettev_kalk!AP74*(44/12)</f>
        <v>0</v>
      </c>
      <c r="AR23" s="846">
        <f>Ettev_kalk!AQ74*(44/12)</f>
        <v>0</v>
      </c>
      <c r="AS23" s="846">
        <f>Ettev_kalk!AR74*(44/12)</f>
        <v>0</v>
      </c>
      <c r="CU23" t="s">
        <v>457</v>
      </c>
    </row>
    <row r="24" spans="1:100">
      <c r="A24" s="846" t="s">
        <v>962</v>
      </c>
      <c r="B24" s="846">
        <f>Ettev_kalk!E70*(44/12)</f>
        <v>0</v>
      </c>
      <c r="C24" s="846">
        <f>Ettev_kalk!F70*(44/12)</f>
        <v>0</v>
      </c>
      <c r="D24" s="846">
        <f>Ettev_kalk!G70*(44/12)</f>
        <v>0</v>
      </c>
      <c r="E24" s="846">
        <f>Ettev_kalk!H70*(44/12)</f>
        <v>0</v>
      </c>
      <c r="F24" s="846">
        <f>Ettev_kalk!I70*(44/12)</f>
        <v>0</v>
      </c>
      <c r="G24" s="846">
        <f>Ettev_kalk!J70*(44/12)</f>
        <v>0</v>
      </c>
      <c r="H24" s="846">
        <f>Ettev_kalk!K70*(44/12)</f>
        <v>0</v>
      </c>
      <c r="I24" s="846">
        <f>Ettev_kalk!L70*(44/12)</f>
        <v>0</v>
      </c>
      <c r="J24" s="846">
        <f>Ettev_kalk!M70*(44/12)</f>
        <v>0</v>
      </c>
      <c r="K24" s="846">
        <f>Ettev_kalk!N70*(44/12)</f>
        <v>0</v>
      </c>
      <c r="L24" s="846">
        <f>Ettev_kalk!O70*(44/12)</f>
        <v>0</v>
      </c>
      <c r="M24" s="846">
        <f>Ettev_kalk!P70*(44/12)</f>
        <v>0</v>
      </c>
      <c r="N24" s="846">
        <f>Ettev_kalk!Q70*(44/12)</f>
        <v>0</v>
      </c>
      <c r="O24" s="846">
        <f>Ettev_kalk!R70*(44/12)</f>
        <v>0</v>
      </c>
      <c r="P24" s="846">
        <f>Ettev_kalk!S70*(44/12)</f>
        <v>0</v>
      </c>
      <c r="Q24" s="846">
        <f>Ettev_kalk!T70*(44/12)</f>
        <v>0</v>
      </c>
      <c r="R24" s="846">
        <f>Ettev_kalk!U70*(44/12)</f>
        <v>0</v>
      </c>
      <c r="S24" s="846">
        <f>Ettev_kalk!V70*(44/12)</f>
        <v>0</v>
      </c>
      <c r="T24" s="846">
        <f>Ettev_kalk!W70*(44/12)</f>
        <v>0</v>
      </c>
      <c r="U24" s="846">
        <f>Ettev_kalk!X70*(44/12)</f>
        <v>0</v>
      </c>
      <c r="V24" s="846"/>
      <c r="W24" s="846"/>
      <c r="X24" s="846">
        <f>Ettev_kalk!Y70*(44/12)</f>
        <v>0</v>
      </c>
      <c r="Y24" s="846">
        <f>Ettev_kalk!Z70*(44/12)</f>
        <v>0</v>
      </c>
      <c r="Z24" s="846">
        <f>Ettev_kalk!AA70*(44/12)</f>
        <v>0</v>
      </c>
      <c r="AA24" s="846">
        <f>Ettev_kalk!AB70*(44/12)</f>
        <v>0</v>
      </c>
      <c r="AB24" s="846">
        <f>Ettev_kalk!AC70*(44/12)</f>
        <v>0</v>
      </c>
      <c r="AC24" s="846">
        <f>Ettev_kalk!AD70*(44/12)</f>
        <v>0</v>
      </c>
      <c r="AD24" s="846">
        <f>Ettev_kalk!AE70*(44/12)</f>
        <v>0</v>
      </c>
      <c r="AE24" s="846">
        <f>Ettev_kalk!AF70*(44/12)</f>
        <v>0</v>
      </c>
      <c r="AF24" s="846">
        <f>Ettev_kalk!AG70*(44/12)</f>
        <v>0</v>
      </c>
      <c r="AG24" s="846">
        <f>Ettev_kalk!AH70*(44/12)</f>
        <v>0</v>
      </c>
      <c r="AH24" s="846">
        <f>Ettev_kalk!AI70*(44/12)</f>
        <v>0</v>
      </c>
      <c r="AI24" s="846">
        <f>Ettev_kalk!AJ70*(44/12)</f>
        <v>0</v>
      </c>
      <c r="AJ24" s="846">
        <f>Ettev_kalk!AK70*(44/12)</f>
        <v>0</v>
      </c>
      <c r="AK24" s="846">
        <f>Ettev_kalk!AL70*(44/12)</f>
        <v>0</v>
      </c>
      <c r="AL24" s="846">
        <f>Ettev_kalk!AM70*(44/12)</f>
        <v>0</v>
      </c>
      <c r="AM24" s="846">
        <f>Ettev_kalk!AN70*(44/12)</f>
        <v>0</v>
      </c>
      <c r="AN24" s="846">
        <f>Ettev_kalk!AO70*(44/12)</f>
        <v>0</v>
      </c>
      <c r="AO24" s="846"/>
      <c r="AP24" s="846"/>
      <c r="AQ24" s="846">
        <f>Ettev_kalk!AP70*(44/12)</f>
        <v>0</v>
      </c>
      <c r="AR24" s="846">
        <f>Ettev_kalk!AQ70*(44/12)</f>
        <v>0</v>
      </c>
      <c r="AS24" s="846">
        <f>Ettev_kalk!AR70*(44/12)</f>
        <v>0</v>
      </c>
      <c r="CU24" t="s">
        <v>963</v>
      </c>
    </row>
    <row r="25" spans="1:100">
      <c r="A25" s="846" t="s">
        <v>444</v>
      </c>
      <c r="B25" s="846" t="e">
        <f>SUM('Ettevõttepõhine jalajälg'!$H$29:$H$30)*Tootep_kalk!B20*1000</f>
        <v>#DIV/0!</v>
      </c>
      <c r="C25" s="846" t="e">
        <f>SUM('Ettevõttepõhine jalajälg'!$H$29:$H$30)*Tootep_kalk!C20*1000</f>
        <v>#DIV/0!</v>
      </c>
      <c r="D25" s="846" t="e">
        <f>SUM('Ettevõttepõhine jalajälg'!$H$29:$H$30)*Tootep_kalk!D20*1000</f>
        <v>#DIV/0!</v>
      </c>
      <c r="E25" s="846" t="e">
        <f>SUM('Ettevõttepõhine jalajälg'!$H$29:$H$30)*Tootep_kalk!E20*1000</f>
        <v>#DIV/0!</v>
      </c>
      <c r="F25" s="846" t="e">
        <f>SUM('Ettevõttepõhine jalajälg'!$H$29:$H$30)*Tootep_kalk!F20*1000</f>
        <v>#DIV/0!</v>
      </c>
      <c r="G25" s="846" t="e">
        <f>SUM('Ettevõttepõhine jalajälg'!$H$29:$H$30)*Tootep_kalk!G20*1000</f>
        <v>#DIV/0!</v>
      </c>
      <c r="H25" s="846" t="e">
        <f>SUM('Ettevõttepõhine jalajälg'!$H$29:$H$30)*Tootep_kalk!H20*1000</f>
        <v>#DIV/0!</v>
      </c>
      <c r="I25" s="846" t="e">
        <f>SUM('Ettevõttepõhine jalajälg'!$H$29:$H$30)*Tootep_kalk!I20*1000</f>
        <v>#DIV/0!</v>
      </c>
      <c r="J25" s="846" t="e">
        <f>SUM('Ettevõttepõhine jalajälg'!$H$29:$H$30)*Tootep_kalk!J20*1000</f>
        <v>#DIV/0!</v>
      </c>
      <c r="K25" s="846" t="e">
        <f>SUM('Ettevõttepõhine jalajälg'!$H$29:$H$30)*Tootep_kalk!K20*1000</f>
        <v>#DIV/0!</v>
      </c>
      <c r="L25" s="846" t="e">
        <f>SUM('Ettevõttepõhine jalajälg'!$H$29:$H$30)*Tootep_kalk!L20*1000</f>
        <v>#DIV/0!</v>
      </c>
      <c r="M25" s="846" t="e">
        <f>SUM('Ettevõttepõhine jalajälg'!$H$29:$H$30)*Tootep_kalk!M20*1000</f>
        <v>#DIV/0!</v>
      </c>
      <c r="N25" s="846" t="e">
        <f>SUM('Ettevõttepõhine jalajälg'!$H$29:$H$30)*Tootep_kalk!N20*1000</f>
        <v>#DIV/0!</v>
      </c>
      <c r="O25" s="846" t="e">
        <f>SUM('Ettevõttepõhine jalajälg'!$H$29:$H$30)*Tootep_kalk!O20*1000</f>
        <v>#DIV/0!</v>
      </c>
      <c r="P25" s="846" t="e">
        <f>SUM('Ettevõttepõhine jalajälg'!$H$29:$H$30)*Tootep_kalk!P20*1000</f>
        <v>#DIV/0!</v>
      </c>
      <c r="Q25" s="846" t="e">
        <f>SUM('Ettevõttepõhine jalajälg'!$H$29:$H$30)*Tootep_kalk!Q20*1000</f>
        <v>#DIV/0!</v>
      </c>
      <c r="R25" s="846" t="e">
        <f>SUM('Ettevõttepõhine jalajälg'!$H$29:$H$30)*Tootep_kalk!R20*1000</f>
        <v>#DIV/0!</v>
      </c>
      <c r="S25" s="846" t="e">
        <f>SUM('Ettevõttepõhine jalajälg'!$H$29:$H$30)*Tootep_kalk!S20*1000</f>
        <v>#DIV/0!</v>
      </c>
      <c r="T25" s="846" t="e">
        <f>SUM('Ettevõttepõhine jalajälg'!$H$29:$H$30)*Tootep_kalk!T20*1000</f>
        <v>#DIV/0!</v>
      </c>
      <c r="U25" s="846" t="e">
        <f>SUM('Ettevõttepõhine jalajälg'!$H$29:$H$30)*Tootep_kalk!U20*1000</f>
        <v>#DIV/0!</v>
      </c>
      <c r="V25" s="846">
        <f>SUM('Ettevõttepõhine jalajälg'!$H$29:$H$30)*Tootep_kalk!V20*1000</f>
        <v>0</v>
      </c>
      <c r="W25" s="846">
        <f>SUM('Ettevõttepõhine jalajälg'!$H$29:$H$30)*Tootep_kalk!W20*1000</f>
        <v>0</v>
      </c>
      <c r="X25" s="846" t="e">
        <f>SUM('Ettevõttepõhine jalajälg'!$H$29:$H$30)*Tootep_kalk!X20*1000</f>
        <v>#DIV/0!</v>
      </c>
      <c r="Y25" s="846" t="e">
        <f>SUM('Ettevõttepõhine jalajälg'!$H$29:$H$30)*Tootep_kalk!Y20*1000</f>
        <v>#DIV/0!</v>
      </c>
      <c r="Z25" s="846" t="e">
        <f>SUM('Ettevõttepõhine jalajälg'!$H$29:$H$30)*Tootep_kalk!Z20*1000</f>
        <v>#DIV/0!</v>
      </c>
      <c r="AA25" s="846" t="e">
        <f>SUM('Ettevõttepõhine jalajälg'!$H$29:$H$30)*Tootep_kalk!AA20*1000</f>
        <v>#DIV/0!</v>
      </c>
      <c r="AB25" s="846" t="e">
        <f>SUM('Ettevõttepõhine jalajälg'!$H$29:$H$30)*Tootep_kalk!AB20*1000</f>
        <v>#DIV/0!</v>
      </c>
      <c r="AC25" s="846" t="e">
        <f>SUM('Ettevõttepõhine jalajälg'!$H$29:$H$30)*Tootep_kalk!AC20*1000</f>
        <v>#DIV/0!</v>
      </c>
      <c r="AD25" s="846" t="e">
        <f>SUM('Ettevõttepõhine jalajälg'!$H$29:$H$30)*Tootep_kalk!AD20*1000</f>
        <v>#DIV/0!</v>
      </c>
      <c r="AE25" s="846" t="e">
        <f>SUM('Ettevõttepõhine jalajälg'!$H$29:$H$30)*Tootep_kalk!AE20*1000</f>
        <v>#DIV/0!</v>
      </c>
      <c r="AF25" s="846" t="e">
        <f>SUM('Ettevõttepõhine jalajälg'!$H$29:$H$30)*Tootep_kalk!AF20*1000</f>
        <v>#DIV/0!</v>
      </c>
      <c r="AG25" s="846" t="e">
        <f>SUM('Ettevõttepõhine jalajälg'!$H$29:$H$30)*Tootep_kalk!AG20*1000</f>
        <v>#DIV/0!</v>
      </c>
      <c r="AH25" s="846" t="e">
        <f>SUM('Ettevõttepõhine jalajälg'!$H$29:$H$30)*Tootep_kalk!AH20*1000</f>
        <v>#DIV/0!</v>
      </c>
      <c r="AI25" s="846" t="e">
        <f>SUM('Ettevõttepõhine jalajälg'!$H$29:$H$30)*Tootep_kalk!AI20*1000</f>
        <v>#DIV/0!</v>
      </c>
      <c r="AJ25" s="846" t="e">
        <f>SUM('Ettevõttepõhine jalajälg'!$H$29:$H$30)*Tootep_kalk!AJ20*1000</f>
        <v>#DIV/0!</v>
      </c>
      <c r="AK25" s="846" t="e">
        <f>SUM('Ettevõttepõhine jalajälg'!$H$29:$H$30)*Tootep_kalk!AK20*1000</f>
        <v>#DIV/0!</v>
      </c>
      <c r="AL25" s="846" t="e">
        <f>SUM('Ettevõttepõhine jalajälg'!$H$29:$H$30)*Tootep_kalk!AL20*1000</f>
        <v>#DIV/0!</v>
      </c>
      <c r="AM25" s="846" t="e">
        <f>SUM('Ettevõttepõhine jalajälg'!$H$29:$H$30)*Tootep_kalk!AM20*1000</f>
        <v>#DIV/0!</v>
      </c>
      <c r="AN25" s="846" t="e">
        <f>SUM('Ettevõttepõhine jalajälg'!$H$29:$H$30)*Tootep_kalk!AN20*1000</f>
        <v>#DIV/0!</v>
      </c>
      <c r="AO25" s="846">
        <f>SUM('Ettevõttepõhine jalajälg'!$H$29:$H$30)*Tootep_kalk!AO20*1000</f>
        <v>0</v>
      </c>
      <c r="AP25" s="846">
        <f>SUM('Ettevõttepõhine jalajälg'!$H$29:$H$30)*Tootep_kalk!AP20*1000</f>
        <v>0</v>
      </c>
      <c r="AQ25" s="846" t="e">
        <f>SUM('Ettevõttepõhine jalajälg'!$H$29:$H$30)*Tootep_kalk!AQ20*1000</f>
        <v>#DIV/0!</v>
      </c>
      <c r="AR25" s="846" t="e">
        <f>SUM('Ettevõttepõhine jalajälg'!$H$29:$H$30)*Tootep_kalk!AR20*1000</f>
        <v>#DIV/0!</v>
      </c>
      <c r="AS25" s="846" t="e">
        <f>SUM('Ettevõttepõhine jalajälg'!$H$29:$H$30)*Tootep_kalk!AS20*1000</f>
        <v>#DIV/0!</v>
      </c>
      <c r="CU25" t="s">
        <v>964</v>
      </c>
    </row>
    <row r="26" spans="1:100">
      <c r="A26" s="846" t="s">
        <v>965</v>
      </c>
      <c r="B26" s="846" t="e">
        <f>B4/SUM($B$4:$AS$4)</f>
        <v>#DIV/0!</v>
      </c>
      <c r="C26" s="846" t="e">
        <f t="shared" ref="C26:AS26" si="7">C4/SUM($B$4:$AS$4)</f>
        <v>#DIV/0!</v>
      </c>
      <c r="D26" s="846" t="e">
        <f t="shared" si="7"/>
        <v>#DIV/0!</v>
      </c>
      <c r="E26" s="846" t="e">
        <f t="shared" si="7"/>
        <v>#DIV/0!</v>
      </c>
      <c r="F26" s="846" t="e">
        <f t="shared" si="7"/>
        <v>#DIV/0!</v>
      </c>
      <c r="G26" s="846" t="e">
        <f t="shared" si="7"/>
        <v>#DIV/0!</v>
      </c>
      <c r="H26" s="846" t="e">
        <f t="shared" si="7"/>
        <v>#DIV/0!</v>
      </c>
      <c r="I26" s="846" t="e">
        <f t="shared" si="7"/>
        <v>#DIV/0!</v>
      </c>
      <c r="J26" s="846" t="e">
        <f t="shared" si="7"/>
        <v>#DIV/0!</v>
      </c>
      <c r="K26" s="846" t="e">
        <f t="shared" si="7"/>
        <v>#DIV/0!</v>
      </c>
      <c r="L26" s="846" t="e">
        <f t="shared" si="7"/>
        <v>#DIV/0!</v>
      </c>
      <c r="M26" s="846" t="e">
        <f t="shared" si="7"/>
        <v>#DIV/0!</v>
      </c>
      <c r="N26" s="846" t="e">
        <f t="shared" si="7"/>
        <v>#DIV/0!</v>
      </c>
      <c r="O26" s="846" t="e">
        <f t="shared" si="7"/>
        <v>#DIV/0!</v>
      </c>
      <c r="P26" s="846" t="e">
        <f t="shared" si="7"/>
        <v>#DIV/0!</v>
      </c>
      <c r="Q26" s="846" t="e">
        <f t="shared" si="7"/>
        <v>#DIV/0!</v>
      </c>
      <c r="R26" s="846" t="e">
        <f t="shared" si="7"/>
        <v>#DIV/0!</v>
      </c>
      <c r="S26" s="846" t="e">
        <f t="shared" si="7"/>
        <v>#DIV/0!</v>
      </c>
      <c r="T26" s="846" t="e">
        <f t="shared" si="7"/>
        <v>#DIV/0!</v>
      </c>
      <c r="U26" s="846" t="e">
        <f t="shared" si="7"/>
        <v>#DIV/0!</v>
      </c>
      <c r="V26" s="846"/>
      <c r="W26" s="846"/>
      <c r="X26" s="846" t="e">
        <f t="shared" si="7"/>
        <v>#DIV/0!</v>
      </c>
      <c r="Y26" s="846" t="e">
        <f t="shared" si="7"/>
        <v>#DIV/0!</v>
      </c>
      <c r="Z26" s="846" t="e">
        <f t="shared" si="7"/>
        <v>#DIV/0!</v>
      </c>
      <c r="AA26" s="846" t="e">
        <f t="shared" si="7"/>
        <v>#DIV/0!</v>
      </c>
      <c r="AB26" s="846" t="e">
        <f t="shared" si="7"/>
        <v>#DIV/0!</v>
      </c>
      <c r="AC26" s="846" t="e">
        <f t="shared" si="7"/>
        <v>#DIV/0!</v>
      </c>
      <c r="AD26" s="846" t="e">
        <f t="shared" si="7"/>
        <v>#DIV/0!</v>
      </c>
      <c r="AE26" s="846" t="e">
        <f t="shared" si="7"/>
        <v>#DIV/0!</v>
      </c>
      <c r="AF26" s="846" t="e">
        <f t="shared" si="7"/>
        <v>#DIV/0!</v>
      </c>
      <c r="AG26" s="846" t="e">
        <f t="shared" si="7"/>
        <v>#DIV/0!</v>
      </c>
      <c r="AH26" s="846" t="e">
        <f t="shared" si="7"/>
        <v>#DIV/0!</v>
      </c>
      <c r="AI26" s="846" t="e">
        <f t="shared" si="7"/>
        <v>#DIV/0!</v>
      </c>
      <c r="AJ26" s="846" t="e">
        <f t="shared" si="7"/>
        <v>#DIV/0!</v>
      </c>
      <c r="AK26" s="846" t="e">
        <f t="shared" si="7"/>
        <v>#DIV/0!</v>
      </c>
      <c r="AL26" s="846" t="e">
        <f t="shared" si="7"/>
        <v>#DIV/0!</v>
      </c>
      <c r="AM26" s="846" t="e">
        <f t="shared" si="7"/>
        <v>#DIV/0!</v>
      </c>
      <c r="AN26" s="846" t="e">
        <f t="shared" si="7"/>
        <v>#DIV/0!</v>
      </c>
      <c r="AO26" s="846"/>
      <c r="AP26" s="846"/>
      <c r="AQ26" s="846" t="e">
        <f t="shared" si="7"/>
        <v>#DIV/0!</v>
      </c>
      <c r="AR26" s="846" t="e">
        <f t="shared" si="7"/>
        <v>#DIV/0!</v>
      </c>
      <c r="AS26" s="846" t="e">
        <f t="shared" si="7"/>
        <v>#DIV/0!</v>
      </c>
      <c r="CU26" t="s">
        <v>964</v>
      </c>
    </row>
    <row r="27" spans="1:100">
      <c r="A27" s="846" t="s">
        <v>966</v>
      </c>
      <c r="B27" s="846" t="e">
        <f>B4*(Taimekasvatus!$G$14/$AT$2)*((1*'M1 - TK'!$B$3*(44/12)*1000)+(1*'M1 - TK'!$B$12*(44/28)*265))</f>
        <v>#DIV/0!</v>
      </c>
      <c r="C27" s="846" t="e">
        <f>C4*(Taimekasvatus!$G$14/$AT$2)*((1*'M1 - TK'!$B$3*(44/12)*1000)+(1*'M1 - TK'!$B$12*(44/28)*265))</f>
        <v>#DIV/0!</v>
      </c>
      <c r="D27" s="846" t="e">
        <f>D4*(Taimekasvatus!$G$14/$AT$2)*((1*'M1 - TK'!$B$3*(44/12)*1000)+(1*'M1 - TK'!$B$12*(44/28)*265))</f>
        <v>#DIV/0!</v>
      </c>
      <c r="E27" s="846" t="e">
        <f>E4*(Taimekasvatus!$G$14/$AT$2)*((1*'M1 - TK'!$B$3*(44/12)*1000)+(1*'M1 - TK'!$B$12*(44/28)*265))</f>
        <v>#DIV/0!</v>
      </c>
      <c r="F27" s="846" t="e">
        <f>F4*(Taimekasvatus!$G$14/$AT$2)*((1*'M1 - TK'!$B$3*(44/12)*1000)+(1*'M1 - TK'!$B$12*(44/28)*265))</f>
        <v>#DIV/0!</v>
      </c>
      <c r="G27" s="846" t="e">
        <f>G4*(Taimekasvatus!$G$14/$AT$2)*((1*'M1 - TK'!$B$3*(44/12)*1000)+(1*'M1 - TK'!$B$12*(44/28)*265))</f>
        <v>#DIV/0!</v>
      </c>
      <c r="H27" s="846" t="e">
        <f>H4*(Taimekasvatus!$G$14/$AT$2)*((1*'M1 - TK'!$B$3*(44/12)*1000)+(1*'M1 - TK'!$B$12*(44/28)*265))</f>
        <v>#DIV/0!</v>
      </c>
      <c r="I27" s="846" t="e">
        <f>I4*(Taimekasvatus!$G$14/$AT$2)*((1*'M1 - TK'!$B$3*(44/12)*1000)+(1*'M1 - TK'!$B$12*(44/28)*265))</f>
        <v>#DIV/0!</v>
      </c>
      <c r="J27" s="846" t="e">
        <f>J4*(Taimekasvatus!$G$14/$AT$2)*((1*'M1 - TK'!$B$3*(44/12)*1000)+(1*'M1 - TK'!$B$12*(44/28)*265))</f>
        <v>#DIV/0!</v>
      </c>
      <c r="K27" s="846" t="e">
        <f>K4*(Taimekasvatus!$G$14/$AT$2)*((1*'M1 - TK'!$B$3*(44/12)*1000)+(1*'M1 - TK'!$B$12*(44/28)*265))</f>
        <v>#DIV/0!</v>
      </c>
      <c r="L27" s="846" t="e">
        <f>L4*(Taimekasvatus!$G$14/$AT$2)*((1*'M1 - TK'!$B$3*(44/12)*1000)+(1*'M1 - TK'!$B$12*(44/28)*265))</f>
        <v>#DIV/0!</v>
      </c>
      <c r="M27" s="846" t="e">
        <f>M4*(Taimekasvatus!$G$14/$AT$2)*((1*'M1 - TK'!$B$3*(44/12)*1000)+(1*'M1 - TK'!$B$12*(44/28)*265))</f>
        <v>#DIV/0!</v>
      </c>
      <c r="N27" s="846" t="e">
        <f>N4*(Taimekasvatus!$G$14/$AT$2)*((1*'M1 - TK'!$B$3*(44/12)*1000)+(1*'M1 - TK'!$B$12*(44/28)*265))</f>
        <v>#DIV/0!</v>
      </c>
      <c r="O27" s="846" t="e">
        <f>O4*(Taimekasvatus!$G$14/$AT$2)*((1*'M1 - TK'!$B$3*(44/12)*1000)+(1*'M1 - TK'!$B$12*(44/28)*265))</f>
        <v>#DIV/0!</v>
      </c>
      <c r="P27" s="846" t="e">
        <f>P4*(Taimekasvatus!$G$14/$AT$2)*((1*'M1 - TK'!$B$3*(44/12)*1000)+(1*'M1 - TK'!$B$12*(44/28)*265))</f>
        <v>#DIV/0!</v>
      </c>
      <c r="Q27" s="846" t="e">
        <f>Q4*(Taimekasvatus!$G$14/$AT$2)*((1*'M1 - TK'!$B$3*(44/12)*1000)+(1*'M1 - TK'!$B$12*(44/28)*265))</f>
        <v>#DIV/0!</v>
      </c>
      <c r="R27" s="846" t="e">
        <f>R4*(Taimekasvatus!$G$14/$AT$2)*((1*'M1 - TK'!$B$3*(44/12)*1000)+(1*'M1 - TK'!$B$12*(44/28)*265))</f>
        <v>#DIV/0!</v>
      </c>
      <c r="S27" s="846" t="e">
        <f>S4*(Taimekasvatus!$G$14/$AT$2)*((1*'M1 - TK'!$B$3*(44/12)*1000)+(1*'M1 - TK'!$B$12*(44/28)*265))</f>
        <v>#DIV/0!</v>
      </c>
      <c r="T27" s="846" t="e">
        <f>T4*(Taimekasvatus!$G$14/$AT$2)*((1*'M1 - TK'!$B$3*(44/12)*1000)+(1*'M1 - TK'!$B$12*(44/28)*265))</f>
        <v>#DIV/0!</v>
      </c>
      <c r="U27" s="846" t="e">
        <f>U4*(Taimekasvatus!$G$14/$AT$2)*((1*'M1 - TK'!$B$3*(44/12)*1000)+(1*'M1 - TK'!$B$12*(44/28)*265))</f>
        <v>#DIV/0!</v>
      </c>
      <c r="V27" s="846" t="e">
        <f>V4*(Taimekasvatus!$G$14/$AT$2)*((1*'M1 - TK'!$B$3*(44/12)*1000)+(1*'M1 - TK'!$B$12*(44/28)*265))</f>
        <v>#DIV/0!</v>
      </c>
      <c r="W27" s="846" t="e">
        <f>W4*(Taimekasvatus!$G$14/$AT$2)*((1*'M1 - TK'!$B$3*(44/12)*1000)+(1*'M1 - TK'!$B$12*(44/28)*265))</f>
        <v>#DIV/0!</v>
      </c>
      <c r="X27" s="846" t="e">
        <f>X4*(Taimekasvatus!$G$14/$AT$2)*((1*'M1 - TK'!$B$3*(44/12)*1000)+(1*'M1 - TK'!$B$12*(44/28)*265))</f>
        <v>#DIV/0!</v>
      </c>
      <c r="Y27" s="846" t="e">
        <f>Y4*(Taimekasvatus!$G$14/$AT$2)*((1*'M1 - TK'!$B$3*(44/12)*1000)+(1*'M1 - TK'!$B$12*(44/28)*265))</f>
        <v>#DIV/0!</v>
      </c>
      <c r="Z27" s="846" t="e">
        <f>Z4*(Taimekasvatus!$G$14/$AT$2)*((1*'M1 - TK'!$B$3*(44/12)*1000)+(1*'M1 - TK'!$B$12*(44/28)*265))</f>
        <v>#DIV/0!</v>
      </c>
      <c r="AA27" s="846" t="e">
        <f>AA4*(Taimekasvatus!$G$14/$AT$2)*((1*'M1 - TK'!$B$3*(44/12)*1000)+(1*'M1 - TK'!$B$12*(44/28)*265))</f>
        <v>#DIV/0!</v>
      </c>
      <c r="AB27" s="846" t="e">
        <f>AB4*(Taimekasvatus!$G$14/$AT$2)*((1*'M1 - TK'!$B$3*(44/12)*1000)+(1*'M1 - TK'!$B$12*(44/28)*265))</f>
        <v>#DIV/0!</v>
      </c>
      <c r="AC27" s="846" t="e">
        <f>AC4*(Taimekasvatus!$G$14/$AT$2)*((1*'M1 - TK'!$B$3*(44/12)*1000)+(1*'M1 - TK'!$B$12*(44/28)*265))</f>
        <v>#DIV/0!</v>
      </c>
      <c r="AD27" s="846" t="e">
        <f>AD4*(Taimekasvatus!$G$14/$AT$2)*((1*'M1 - TK'!$B$3*(44/12)*1000)+(1*'M1 - TK'!$B$12*(44/28)*265))</f>
        <v>#DIV/0!</v>
      </c>
      <c r="AE27" s="846" t="e">
        <f>AE4*(Taimekasvatus!$G$14/$AT$2)*((1*'M1 - TK'!$B$3*(44/12)*1000)+(1*'M1 - TK'!$B$12*(44/28)*265))</f>
        <v>#DIV/0!</v>
      </c>
      <c r="AF27" s="846" t="e">
        <f>AF4*(Taimekasvatus!$G$14/$AT$2)*((1*'M1 - TK'!$B$3*(44/12)*1000)+(1*'M1 - TK'!$B$12*(44/28)*265))</f>
        <v>#DIV/0!</v>
      </c>
      <c r="AG27" s="846" t="e">
        <f>AG4*(Taimekasvatus!$G$14/$AT$2)*((1*'M1 - TK'!$B$3*(44/12)*1000)+(1*'M1 - TK'!$B$12*(44/28)*265))</f>
        <v>#DIV/0!</v>
      </c>
      <c r="AH27" s="846" t="e">
        <f>AH4*(Taimekasvatus!$G$14/$AT$2)*((1*'M1 - TK'!$B$3*(44/12)*1000)+(1*'M1 - TK'!$B$12*(44/28)*265))</f>
        <v>#DIV/0!</v>
      </c>
      <c r="AI27" s="846" t="e">
        <f>AI4*(Taimekasvatus!$G$14/$AT$2)*((1*'M1 - TK'!$B$3*(44/12)*1000)+(1*'M1 - TK'!$B$12*(44/28)*265))</f>
        <v>#DIV/0!</v>
      </c>
      <c r="AJ27" s="846" t="e">
        <f>AJ4*(Taimekasvatus!$G$14/$AT$2)*((1*'M1 - TK'!$B$3*(44/12)*1000)+(1*'M1 - TK'!$B$12*(44/28)*265))</f>
        <v>#DIV/0!</v>
      </c>
      <c r="AK27" s="846" t="e">
        <f>AK4*(Taimekasvatus!$G$14/$AT$2)*((1*'M1 - TK'!$B$3*(44/12)*1000)+(1*'M1 - TK'!$B$12*(44/28)*265))</f>
        <v>#DIV/0!</v>
      </c>
      <c r="AL27" s="846" t="e">
        <f>AL4*(Taimekasvatus!$G$14/$AT$2)*((1*'M1 - TK'!$B$3*(44/12)*1000)+(1*'M1 - TK'!$B$12*(44/28)*265))</f>
        <v>#DIV/0!</v>
      </c>
      <c r="AM27" s="846" t="e">
        <f>AM4*(Taimekasvatus!$G$14/$AT$2)*((1*'M1 - TK'!$B$3*(44/12)*1000)+(1*'M1 - TK'!$B$12*(44/28)*265))</f>
        <v>#DIV/0!</v>
      </c>
      <c r="AN27" s="846" t="e">
        <f>AN4*(Taimekasvatus!$G$14/$AT$2)*((1*'M1 - TK'!$B$3*(44/12)*1000)+(1*'M1 - TK'!$B$12*(44/28)*265))</f>
        <v>#DIV/0!</v>
      </c>
      <c r="AO27" s="846" t="e">
        <f>AO4*(Taimekasvatus!$G$14/$AT$2)*((1*'M1 - TK'!$B$3*(44/12)*1000)+(1*'M1 - TK'!$B$12*(44/28)*265))</f>
        <v>#DIV/0!</v>
      </c>
      <c r="AP27" s="846" t="e">
        <f>AP4*(Taimekasvatus!$G$14/$AT$2)*((1*'M1 - TK'!$B$3*(44/12)*1000)+(1*'M1 - TK'!$B$12*(44/28)*265))</f>
        <v>#DIV/0!</v>
      </c>
      <c r="AQ27" s="846" t="e">
        <f>AQ4*(Taimekasvatus!$G$15/$AT$3)*((1*'M1 - TK'!$B$5*(44/12)*1000)+(1*'M1 - TK'!$B$13*(44/28)*265))</f>
        <v>#DIV/0!</v>
      </c>
      <c r="AR27" s="846" t="e">
        <f>AR4*(Taimekasvatus!$G$15/$AT$3)*((1*'M1 - TK'!$B$5*(44/12)*1000)+(1*'M1 - TK'!$B$13*(44/28)*265))</f>
        <v>#DIV/0!</v>
      </c>
      <c r="AS27" s="846" t="e">
        <f>AS4*(Taimekasvatus!$G$15/$AT$3)*((1*'M1 - TK'!$B$5*(44/12)*1000)+(1*'M1 - TK'!$B$13*(44/28)*265))</f>
        <v>#DIV/0!</v>
      </c>
      <c r="AT27" t="e">
        <f>SUM(B27:AS27)</f>
        <v>#DIV/0!</v>
      </c>
      <c r="CU27" t="s">
        <v>964</v>
      </c>
    </row>
    <row r="28" spans="1:100">
      <c r="A28" s="846" t="s">
        <v>452</v>
      </c>
      <c r="B28" s="846" t="e">
        <f>'Ettevõttepõhine jalajälg'!$H$34*1000*B20</f>
        <v>#DIV/0!</v>
      </c>
      <c r="C28" s="846" t="e">
        <f>'Ettevõttepõhine jalajälg'!$H$34*1000*C20</f>
        <v>#DIV/0!</v>
      </c>
      <c r="D28" s="846" t="e">
        <f>'Ettevõttepõhine jalajälg'!$H$34*1000*D20</f>
        <v>#DIV/0!</v>
      </c>
      <c r="E28" s="846" t="e">
        <f>'Ettevõttepõhine jalajälg'!$H$34*1000*E20</f>
        <v>#DIV/0!</v>
      </c>
      <c r="F28" s="846" t="e">
        <f>'Ettevõttepõhine jalajälg'!$H$34*1000*F20</f>
        <v>#DIV/0!</v>
      </c>
      <c r="G28" s="846" t="e">
        <f>'Ettevõttepõhine jalajälg'!$H$34*1000*G20</f>
        <v>#DIV/0!</v>
      </c>
      <c r="H28" s="846" t="e">
        <f>'Ettevõttepõhine jalajälg'!$H$34*1000*H20</f>
        <v>#DIV/0!</v>
      </c>
      <c r="I28" s="846" t="e">
        <f>'Ettevõttepõhine jalajälg'!$H$34*1000*I20</f>
        <v>#DIV/0!</v>
      </c>
      <c r="J28" s="846" t="e">
        <f>'Ettevõttepõhine jalajälg'!$H$34*1000*J20</f>
        <v>#DIV/0!</v>
      </c>
      <c r="K28" s="846" t="e">
        <f>'Ettevõttepõhine jalajälg'!$H$34*1000*K20</f>
        <v>#DIV/0!</v>
      </c>
      <c r="L28" s="846" t="e">
        <f>'Ettevõttepõhine jalajälg'!$H$34*1000*L20</f>
        <v>#DIV/0!</v>
      </c>
      <c r="M28" s="846" t="e">
        <f>'Ettevõttepõhine jalajälg'!$H$34*1000*M20</f>
        <v>#DIV/0!</v>
      </c>
      <c r="N28" s="846" t="e">
        <f>'Ettevõttepõhine jalajälg'!$H$34*1000*N20</f>
        <v>#DIV/0!</v>
      </c>
      <c r="O28" s="846" t="e">
        <f>'Ettevõttepõhine jalajälg'!$H$34*1000*O20</f>
        <v>#DIV/0!</v>
      </c>
      <c r="P28" s="846" t="e">
        <f>'Ettevõttepõhine jalajälg'!$H$34*1000*P20</f>
        <v>#DIV/0!</v>
      </c>
      <c r="Q28" s="846" t="e">
        <f>'Ettevõttepõhine jalajälg'!$H$34*1000*Q20</f>
        <v>#DIV/0!</v>
      </c>
      <c r="R28" s="846" t="e">
        <f>'Ettevõttepõhine jalajälg'!$H$34*1000*R20</f>
        <v>#DIV/0!</v>
      </c>
      <c r="S28" s="846" t="e">
        <f>'Ettevõttepõhine jalajälg'!$H$34*1000*S20</f>
        <v>#DIV/0!</v>
      </c>
      <c r="T28" s="846" t="e">
        <f>'Ettevõttepõhine jalajälg'!$H$34*1000*T20</f>
        <v>#DIV/0!</v>
      </c>
      <c r="U28" s="846" t="e">
        <f>'Ettevõttepõhine jalajälg'!$H$34*1000*U20</f>
        <v>#DIV/0!</v>
      </c>
      <c r="V28" s="846">
        <f>'Ettevõttepõhine jalajälg'!$H$34*1000*V20</f>
        <v>0</v>
      </c>
      <c r="W28" s="846">
        <f>'Ettevõttepõhine jalajälg'!$H$34*1000*W20</f>
        <v>0</v>
      </c>
      <c r="X28" s="846" t="e">
        <f>'Ettevõttepõhine jalajälg'!$H$34*1000*X20</f>
        <v>#DIV/0!</v>
      </c>
      <c r="Y28" s="846" t="e">
        <f>'Ettevõttepõhine jalajälg'!$H$34*1000*Y20</f>
        <v>#DIV/0!</v>
      </c>
      <c r="Z28" s="846" t="e">
        <f>'Ettevõttepõhine jalajälg'!$H$34*1000*Z20</f>
        <v>#DIV/0!</v>
      </c>
      <c r="AA28" s="846" t="e">
        <f>'Ettevõttepõhine jalajälg'!$H$34*1000*AA20</f>
        <v>#DIV/0!</v>
      </c>
      <c r="AB28" s="846" t="e">
        <f>'Ettevõttepõhine jalajälg'!$H$34*1000*AB20</f>
        <v>#DIV/0!</v>
      </c>
      <c r="AC28" s="846" t="e">
        <f>'Ettevõttepõhine jalajälg'!$H$34*1000*AC20</f>
        <v>#DIV/0!</v>
      </c>
      <c r="AD28" s="846" t="e">
        <f>'Ettevõttepõhine jalajälg'!$H$34*1000*AD20</f>
        <v>#DIV/0!</v>
      </c>
      <c r="AE28" s="846" t="e">
        <f>'Ettevõttepõhine jalajälg'!$H$34*1000*AE20</f>
        <v>#DIV/0!</v>
      </c>
      <c r="AF28" s="846" t="e">
        <f>'Ettevõttepõhine jalajälg'!$H$34*1000*AF20</f>
        <v>#DIV/0!</v>
      </c>
      <c r="AG28" s="846" t="e">
        <f>'Ettevõttepõhine jalajälg'!$H$34*1000*AG20</f>
        <v>#DIV/0!</v>
      </c>
      <c r="AH28" s="846" t="e">
        <f>'Ettevõttepõhine jalajälg'!$H$34*1000*AH20</f>
        <v>#DIV/0!</v>
      </c>
      <c r="AI28" s="846" t="e">
        <f>'Ettevõttepõhine jalajälg'!$H$34*1000*AI20</f>
        <v>#DIV/0!</v>
      </c>
      <c r="AJ28" s="846" t="e">
        <f>'Ettevõttepõhine jalajälg'!$H$34*1000*AJ20</f>
        <v>#DIV/0!</v>
      </c>
      <c r="AK28" s="846" t="e">
        <f>'Ettevõttepõhine jalajälg'!$H$34*1000*AK20</f>
        <v>#DIV/0!</v>
      </c>
      <c r="AL28" s="846" t="e">
        <f>'Ettevõttepõhine jalajälg'!$H$34*1000*AL20</f>
        <v>#DIV/0!</v>
      </c>
      <c r="AM28" s="846" t="e">
        <f>'Ettevõttepõhine jalajälg'!$H$34*1000*AM20</f>
        <v>#DIV/0!</v>
      </c>
      <c r="AN28" s="846" t="e">
        <f>'Ettevõttepõhine jalajälg'!$H$34*1000*AN20</f>
        <v>#DIV/0!</v>
      </c>
      <c r="AO28" s="846">
        <f>'Ettevõttepõhine jalajälg'!$H$34*1000*AO20</f>
        <v>0</v>
      </c>
      <c r="AP28" s="846">
        <f>'Ettevõttepõhine jalajälg'!$H$34*1000*AP20</f>
        <v>0</v>
      </c>
      <c r="AQ28" s="846" t="e">
        <f>'Ettevõttepõhine jalajälg'!$H$34*1000*AQ20</f>
        <v>#DIV/0!</v>
      </c>
      <c r="AR28" s="846" t="e">
        <f>'Ettevõttepõhine jalajälg'!$H$34*1000*AR20</f>
        <v>#DIV/0!</v>
      </c>
      <c r="AS28" s="846" t="e">
        <f>'Ettevõttepõhine jalajälg'!$H$34*1000*AS20</f>
        <v>#DIV/0!</v>
      </c>
      <c r="CU28" t="s">
        <v>436</v>
      </c>
    </row>
    <row r="29" spans="1:100">
      <c r="A29" s="846" t="s">
        <v>967</v>
      </c>
      <c r="B29" s="846">
        <f>Taimekasvatus!G43</f>
        <v>0</v>
      </c>
      <c r="C29" s="846">
        <f>Taimekasvatus!H43</f>
        <v>0</v>
      </c>
      <c r="D29" s="846">
        <f>Taimekasvatus!I43</f>
        <v>0</v>
      </c>
      <c r="E29" s="846">
        <f>Taimekasvatus!J43</f>
        <v>0</v>
      </c>
      <c r="F29" s="846">
        <f>Taimekasvatus!K43</f>
        <v>0</v>
      </c>
      <c r="G29" s="846">
        <f>Taimekasvatus!L43</f>
        <v>0</v>
      </c>
      <c r="H29" s="846">
        <f>Taimekasvatus!M43</f>
        <v>0</v>
      </c>
      <c r="I29" s="846">
        <f>Taimekasvatus!N43</f>
        <v>0</v>
      </c>
      <c r="J29" s="846">
        <f>Taimekasvatus!O43</f>
        <v>0</v>
      </c>
      <c r="K29" s="846">
        <f>Taimekasvatus!P43</f>
        <v>0</v>
      </c>
      <c r="L29" s="846">
        <f>Taimekasvatus!Q43</f>
        <v>0</v>
      </c>
      <c r="M29" s="846">
        <f>Taimekasvatus!R43</f>
        <v>0</v>
      </c>
      <c r="N29" s="846">
        <f>Taimekasvatus!S43</f>
        <v>0</v>
      </c>
      <c r="O29" s="846">
        <f>Taimekasvatus!T43</f>
        <v>0</v>
      </c>
      <c r="P29" s="846">
        <f>Taimekasvatus!U43</f>
        <v>0</v>
      </c>
      <c r="Q29" s="846">
        <f>Taimekasvatus!V43</f>
        <v>0</v>
      </c>
      <c r="R29" s="846">
        <f>Taimekasvatus!W43</f>
        <v>0</v>
      </c>
      <c r="S29" s="846">
        <f>Taimekasvatus!X43</f>
        <v>0</v>
      </c>
      <c r="T29" s="846">
        <f>Taimekasvatus!Y43</f>
        <v>0</v>
      </c>
      <c r="U29" s="846">
        <f>Taimekasvatus!Z43</f>
        <v>0</v>
      </c>
      <c r="V29" s="846">
        <f>Taimekasvatus!AA43</f>
        <v>0</v>
      </c>
      <c r="W29" s="846">
        <f>Taimekasvatus!AB43</f>
        <v>0</v>
      </c>
      <c r="X29" s="846">
        <f>Taimekasvatus!AC43</f>
        <v>0</v>
      </c>
      <c r="Y29" s="846">
        <f>Taimekasvatus!AD43</f>
        <v>0</v>
      </c>
      <c r="Z29" s="846">
        <f>Taimekasvatus!AE43</f>
        <v>0</v>
      </c>
      <c r="AA29" s="846">
        <f>Taimekasvatus!AF43</f>
        <v>0</v>
      </c>
      <c r="AB29" s="846">
        <f>Taimekasvatus!AG43</f>
        <v>0</v>
      </c>
      <c r="AC29" s="846">
        <f>Taimekasvatus!AH43</f>
        <v>0</v>
      </c>
      <c r="AD29" s="846">
        <f>Taimekasvatus!AI43</f>
        <v>0</v>
      </c>
      <c r="AE29" s="846">
        <f>Taimekasvatus!AJ43</f>
        <v>0</v>
      </c>
      <c r="AF29" s="846">
        <f>Taimekasvatus!AK43</f>
        <v>0</v>
      </c>
      <c r="AG29" s="846">
        <f>Taimekasvatus!AL43</f>
        <v>0</v>
      </c>
      <c r="AH29" s="846">
        <f>Taimekasvatus!AM43</f>
        <v>0</v>
      </c>
      <c r="AI29" s="846">
        <f>Taimekasvatus!AN43</f>
        <v>0</v>
      </c>
      <c r="AJ29" s="846">
        <f>Taimekasvatus!AO43</f>
        <v>0</v>
      </c>
      <c r="AK29" s="846">
        <f>Taimekasvatus!AP43</f>
        <v>0</v>
      </c>
      <c r="AL29" s="846">
        <f>Taimekasvatus!AQ43</f>
        <v>0</v>
      </c>
      <c r="AM29" s="846">
        <f>Taimekasvatus!AR43</f>
        <v>0</v>
      </c>
      <c r="AN29" s="846">
        <f>Taimekasvatus!AS43</f>
        <v>0</v>
      </c>
      <c r="AO29" s="846">
        <f>Taimekasvatus!AT43</f>
        <v>0</v>
      </c>
      <c r="AP29" s="846">
        <f>Taimekasvatus!AU43</f>
        <v>0</v>
      </c>
      <c r="AQ29" s="846">
        <f>Taimekasvatus!AV43</f>
        <v>0</v>
      </c>
      <c r="AR29" s="846">
        <f>Taimekasvatus!AW43</f>
        <v>0</v>
      </c>
      <c r="AS29" s="846">
        <f>Taimekasvatus!AX43</f>
        <v>0</v>
      </c>
    </row>
    <row r="30" spans="1:100">
      <c r="A30" s="846" t="s">
        <v>968</v>
      </c>
      <c r="B30" s="846">
        <f>Taimekasvatus!G44</f>
        <v>0</v>
      </c>
      <c r="C30" s="846">
        <f>Taimekasvatus!H44</f>
        <v>0</v>
      </c>
      <c r="D30" s="846">
        <f>Taimekasvatus!I44</f>
        <v>0</v>
      </c>
      <c r="E30" s="846">
        <f>Taimekasvatus!J44</f>
        <v>0</v>
      </c>
      <c r="F30" s="846">
        <f>Taimekasvatus!K44</f>
        <v>0</v>
      </c>
      <c r="G30" s="846">
        <f>Taimekasvatus!L44</f>
        <v>0</v>
      </c>
      <c r="H30" s="846">
        <f>Taimekasvatus!M44</f>
        <v>0</v>
      </c>
      <c r="I30" s="846">
        <f>Taimekasvatus!N44</f>
        <v>0</v>
      </c>
      <c r="J30" s="846">
        <f>Taimekasvatus!O44</f>
        <v>0</v>
      </c>
      <c r="K30" s="846">
        <f>Taimekasvatus!P44</f>
        <v>0</v>
      </c>
      <c r="L30" s="846">
        <f>Taimekasvatus!Q44</f>
        <v>0</v>
      </c>
      <c r="M30" s="846">
        <f>Taimekasvatus!R44</f>
        <v>0</v>
      </c>
      <c r="N30" s="846">
        <f>Taimekasvatus!S44</f>
        <v>0</v>
      </c>
      <c r="O30" s="846">
        <f>Taimekasvatus!T44</f>
        <v>0</v>
      </c>
      <c r="P30" s="846">
        <f>Taimekasvatus!U44</f>
        <v>0</v>
      </c>
      <c r="Q30" s="846">
        <f>Taimekasvatus!V44</f>
        <v>0</v>
      </c>
      <c r="R30" s="846">
        <f>Taimekasvatus!W44</f>
        <v>0</v>
      </c>
      <c r="S30" s="846">
        <f>Taimekasvatus!X44</f>
        <v>0</v>
      </c>
      <c r="T30" s="846">
        <f>Taimekasvatus!Y44</f>
        <v>0</v>
      </c>
      <c r="U30" s="846">
        <f>Taimekasvatus!Z44</f>
        <v>0</v>
      </c>
      <c r="V30" s="846">
        <f>Taimekasvatus!AA44</f>
        <v>0</v>
      </c>
      <c r="W30" s="846">
        <f>Taimekasvatus!AB44</f>
        <v>0</v>
      </c>
      <c r="X30" s="846">
        <f>Taimekasvatus!AC44</f>
        <v>0</v>
      </c>
      <c r="Y30" s="846">
        <f>Taimekasvatus!AD44</f>
        <v>0</v>
      </c>
      <c r="Z30" s="846">
        <f>Taimekasvatus!AE44</f>
        <v>0</v>
      </c>
      <c r="AA30" s="846">
        <f>Taimekasvatus!AF44</f>
        <v>0</v>
      </c>
      <c r="AB30" s="846">
        <f>Taimekasvatus!AG44</f>
        <v>0</v>
      </c>
      <c r="AC30" s="846">
        <f>Taimekasvatus!AH44</f>
        <v>0</v>
      </c>
      <c r="AD30" s="846">
        <f>Taimekasvatus!AI44</f>
        <v>0</v>
      </c>
      <c r="AE30" s="846">
        <f>Taimekasvatus!AJ44</f>
        <v>0</v>
      </c>
      <c r="AF30" s="846">
        <f>Taimekasvatus!AK44</f>
        <v>0</v>
      </c>
      <c r="AG30" s="846">
        <f>Taimekasvatus!AL44</f>
        <v>0</v>
      </c>
      <c r="AH30" s="846">
        <f>Taimekasvatus!AM44</f>
        <v>0</v>
      </c>
      <c r="AI30" s="846">
        <f>Taimekasvatus!AN44</f>
        <v>0</v>
      </c>
      <c r="AJ30" s="846">
        <f>Taimekasvatus!AO44</f>
        <v>0</v>
      </c>
      <c r="AK30" s="846">
        <f>Taimekasvatus!AP44</f>
        <v>0</v>
      </c>
      <c r="AL30" s="846">
        <f>Taimekasvatus!AQ44</f>
        <v>0</v>
      </c>
      <c r="AM30" s="846">
        <f>Taimekasvatus!AR44</f>
        <v>0</v>
      </c>
      <c r="AN30" s="846">
        <f>Taimekasvatus!AS44</f>
        <v>0</v>
      </c>
      <c r="AO30" s="846">
        <f>Taimekasvatus!AT44</f>
        <v>0</v>
      </c>
      <c r="AP30" s="846">
        <f>Taimekasvatus!AU44</f>
        <v>0</v>
      </c>
      <c r="AQ30" s="846">
        <f>Taimekasvatus!AV44</f>
        <v>0</v>
      </c>
      <c r="AR30" s="846">
        <f>Taimekasvatus!AW44</f>
        <v>0</v>
      </c>
      <c r="AS30" s="846">
        <f>Taimekasvatus!AX44</f>
        <v>0</v>
      </c>
    </row>
    <row r="31" spans="1:100">
      <c r="CU31" t="s">
        <v>135</v>
      </c>
    </row>
    <row r="32" spans="1:100">
      <c r="A32">
        <v>1</v>
      </c>
      <c r="B32">
        <v>2</v>
      </c>
      <c r="C32">
        <v>3</v>
      </c>
      <c r="D32">
        <v>4</v>
      </c>
      <c r="E32">
        <v>5</v>
      </c>
      <c r="F32">
        <v>6</v>
      </c>
      <c r="G32">
        <v>7</v>
      </c>
      <c r="H32">
        <v>8</v>
      </c>
      <c r="I32">
        <v>9</v>
      </c>
      <c r="J32">
        <v>10</v>
      </c>
      <c r="K32">
        <v>11</v>
      </c>
      <c r="L32">
        <v>12</v>
      </c>
      <c r="M32">
        <v>13</v>
      </c>
      <c r="N32">
        <v>14</v>
      </c>
      <c r="O32">
        <v>15</v>
      </c>
      <c r="P32">
        <v>16</v>
      </c>
      <c r="Q32">
        <v>17</v>
      </c>
      <c r="R32">
        <v>18</v>
      </c>
      <c r="S32">
        <v>19</v>
      </c>
      <c r="T32">
        <v>20</v>
      </c>
      <c r="U32">
        <v>21</v>
      </c>
      <c r="V32">
        <v>22</v>
      </c>
      <c r="W32">
        <v>23</v>
      </c>
      <c r="X32">
        <v>24</v>
      </c>
      <c r="Y32">
        <v>25</v>
      </c>
      <c r="Z32">
        <v>26</v>
      </c>
      <c r="AA32">
        <v>27</v>
      </c>
      <c r="AB32">
        <v>28</v>
      </c>
      <c r="AC32">
        <v>29</v>
      </c>
      <c r="AD32">
        <v>30</v>
      </c>
    </row>
    <row r="33" spans="1:182">
      <c r="A33" t="str">
        <f>A3</f>
        <v>Kultuur</v>
      </c>
      <c r="B33" t="str">
        <f>A4</f>
        <v>Pindala</v>
      </c>
      <c r="C33" t="str">
        <f>A5</f>
        <v>Saagikus</v>
      </c>
      <c r="D33" t="str">
        <f>A6</f>
        <v>Põllutööde kütusekulu</v>
      </c>
      <c r="E33" t="str">
        <f>A7</f>
        <v>Külvitihedus, kg/ha</v>
      </c>
      <c r="F33" s="28" t="str">
        <f>A8</f>
        <v>Sünteetiline N, kg</v>
      </c>
      <c r="G33" t="str">
        <f>A9</f>
        <v>Herbitsiid, l/kg</v>
      </c>
      <c r="H33" t="str">
        <f>A10</f>
        <v>Fungitsiid, l/kg</v>
      </c>
      <c r="I33" t="str">
        <f>A11</f>
        <v>Insektstsiid. l/kg</v>
      </c>
      <c r="J33" t="str">
        <f>A12</f>
        <v>N2O-N, otsene</v>
      </c>
      <c r="K33" s="28" t="str">
        <f>A13</f>
        <v>N2O otsene, kg CO2-ekv</v>
      </c>
      <c r="L33" t="str">
        <f>A14</f>
        <v>N2O-N, kaudne lendumine</v>
      </c>
      <c r="M33" s="28" t="str">
        <f>A15</f>
        <v>N2O kaudne lendumine, kg CO2-ekv</v>
      </c>
      <c r="N33" t="str">
        <f>A16</f>
        <v>N2O-N kaudne leostumine</v>
      </c>
      <c r="O33" s="28" t="str">
        <f>A17</f>
        <v>N2O kaudne leostumine, kg CO2-ekv</v>
      </c>
      <c r="P33" s="28" t="s">
        <v>969</v>
      </c>
      <c r="Q33" s="28" t="s">
        <v>970</v>
      </c>
      <c r="R33" s="28" t="s">
        <v>971</v>
      </c>
      <c r="S33" s="28" t="s">
        <v>972</v>
      </c>
      <c r="T33" s="28" t="s">
        <v>973</v>
      </c>
      <c r="U33" s="28" t="s">
        <v>974</v>
      </c>
      <c r="V33" s="260" t="str">
        <f>A21</f>
        <v>Elektrienergia</v>
      </c>
      <c r="W33" s="260" t="str">
        <f>A22</f>
        <v>Soojusenergia</v>
      </c>
      <c r="X33" t="str">
        <f>A23</f>
        <v>Lubiväetised</v>
      </c>
      <c r="Y33" t="str">
        <f>A24</f>
        <v>Karbamiid</v>
      </c>
      <c r="Z33" s="260" t="str">
        <f>A25</f>
        <v>Kütuste ja energiaga seotud kaudsed mõjud</v>
      </c>
      <c r="AA33" s="260" t="str">
        <f>A27</f>
        <v>Turvasmuldade heitmed</v>
      </c>
      <c r="AB33" t="str">
        <f>A28</f>
        <v>Jäätmed</v>
      </c>
      <c r="AC33" t="str">
        <f>A29</f>
        <v>P väetis</v>
      </c>
      <c r="AD33" t="str">
        <f>A30</f>
        <v>K väetis</v>
      </c>
    </row>
    <row r="34" spans="1:182">
      <c r="A34" t="str">
        <f>B3</f>
        <v>Talinisu</v>
      </c>
      <c r="B34">
        <f>B4</f>
        <v>0</v>
      </c>
      <c r="C34">
        <f>B5</f>
        <v>0</v>
      </c>
      <c r="D34">
        <f>B6</f>
        <v>0</v>
      </c>
      <c r="E34">
        <f>B7</f>
        <v>0</v>
      </c>
      <c r="F34" s="28">
        <f>B8</f>
        <v>0</v>
      </c>
      <c r="G34">
        <f>B9</f>
        <v>0</v>
      </c>
      <c r="H34">
        <f>B10</f>
        <v>0</v>
      </c>
      <c r="I34">
        <f>B11</f>
        <v>0</v>
      </c>
      <c r="J34">
        <f>B12</f>
        <v>0</v>
      </c>
      <c r="K34" s="28">
        <f>B13</f>
        <v>0</v>
      </c>
      <c r="L34">
        <f>B14</f>
        <v>0</v>
      </c>
      <c r="M34" s="28">
        <f>B15</f>
        <v>0</v>
      </c>
      <c r="N34">
        <f>B16</f>
        <v>0</v>
      </c>
      <c r="O34" s="28">
        <f>B17</f>
        <v>0</v>
      </c>
      <c r="P34" s="28">
        <f>D34*B34</f>
        <v>0</v>
      </c>
      <c r="Q34" s="28">
        <f>G34</f>
        <v>0</v>
      </c>
      <c r="R34" s="28">
        <f>H34</f>
        <v>0</v>
      </c>
      <c r="S34" s="28">
        <f>I34</f>
        <v>0</v>
      </c>
      <c r="T34" s="28">
        <f>E34*B34</f>
        <v>0</v>
      </c>
      <c r="U34">
        <f>C34*B34</f>
        <v>0</v>
      </c>
      <c r="V34" s="260" t="e">
        <f>B21</f>
        <v>#DIV/0!</v>
      </c>
      <c r="W34" s="260" t="e">
        <f>B22</f>
        <v>#DIV/0!</v>
      </c>
      <c r="X34">
        <f>B23</f>
        <v>0</v>
      </c>
      <c r="Y34">
        <f>B24</f>
        <v>0</v>
      </c>
      <c r="Z34" s="260" t="e">
        <f>B25</f>
        <v>#DIV/0!</v>
      </c>
      <c r="AA34" s="260" t="e">
        <f>B27</f>
        <v>#DIV/0!</v>
      </c>
      <c r="AB34" t="e">
        <f>B28</f>
        <v>#DIV/0!</v>
      </c>
      <c r="AC34">
        <f>B29</f>
        <v>0</v>
      </c>
      <c r="AD34">
        <f>B30</f>
        <v>0</v>
      </c>
      <c r="AH34" s="1" t="s">
        <v>627</v>
      </c>
      <c r="AI34" s="1" t="s">
        <v>975</v>
      </c>
      <c r="AM34" s="1" t="s">
        <v>159</v>
      </c>
      <c r="AN34" s="1" t="s">
        <v>976</v>
      </c>
      <c r="AR34" s="1" t="s">
        <v>634</v>
      </c>
      <c r="AS34" s="1" t="s">
        <v>977</v>
      </c>
      <c r="AW34" s="1" t="s">
        <v>638</v>
      </c>
      <c r="AX34" s="1" t="s">
        <v>978</v>
      </c>
      <c r="BB34" s="1" t="s">
        <v>253</v>
      </c>
      <c r="BC34" s="1" t="s">
        <v>979</v>
      </c>
      <c r="BG34" s="1" t="s">
        <v>644</v>
      </c>
      <c r="BH34" s="1"/>
      <c r="BL34" s="1" t="s">
        <v>980</v>
      </c>
      <c r="BM34" s="1" t="s">
        <v>981</v>
      </c>
      <c r="BQ34" s="1" t="s">
        <v>648</v>
      </c>
      <c r="BR34" s="1"/>
      <c r="BV34" s="1" t="s">
        <v>650</v>
      </c>
      <c r="BW34" s="1"/>
      <c r="CA34" s="1" t="s">
        <v>651</v>
      </c>
      <c r="CB34" s="1"/>
      <c r="CF34" s="1" t="s">
        <v>654</v>
      </c>
      <c r="CG34" s="1"/>
      <c r="CI34" t="s">
        <v>982</v>
      </c>
      <c r="CK34" s="1" t="s">
        <v>983</v>
      </c>
      <c r="CP34" s="1" t="s">
        <v>984</v>
      </c>
      <c r="CU34" s="867" t="s">
        <v>657</v>
      </c>
      <c r="CZ34" s="1" t="s">
        <v>658</v>
      </c>
      <c r="DE34" s="1" t="s">
        <v>659</v>
      </c>
      <c r="DJ34" s="1" t="s">
        <v>661</v>
      </c>
      <c r="DO34" s="1" t="s">
        <v>665</v>
      </c>
      <c r="DT34" s="1" t="s">
        <v>670</v>
      </c>
      <c r="DY34" s="1" t="s">
        <v>671</v>
      </c>
      <c r="ED34" s="1" t="s">
        <v>672</v>
      </c>
      <c r="EI34" s="1" t="s">
        <v>675</v>
      </c>
      <c r="EN34" s="1" t="s">
        <v>678</v>
      </c>
      <c r="ES34" s="1" t="s">
        <v>282</v>
      </c>
      <c r="EX34" s="1" t="s">
        <v>681</v>
      </c>
      <c r="FC34" s="1" t="s">
        <v>682</v>
      </c>
      <c r="FH34" s="1" t="s">
        <v>685</v>
      </c>
      <c r="FM34" s="1" t="s">
        <v>689</v>
      </c>
      <c r="FR34" s="1" t="s">
        <v>692</v>
      </c>
      <c r="FW34" s="1" t="s">
        <v>696</v>
      </c>
    </row>
    <row r="35" spans="1:182">
      <c r="A35">
        <f>C3</f>
        <v>0</v>
      </c>
      <c r="B35">
        <f>C4</f>
        <v>0</v>
      </c>
      <c r="C35">
        <f>C5</f>
        <v>0</v>
      </c>
      <c r="D35">
        <f>C6</f>
        <v>0</v>
      </c>
      <c r="E35">
        <f>C7</f>
        <v>0</v>
      </c>
      <c r="F35" s="28">
        <f>C8</f>
        <v>0</v>
      </c>
      <c r="G35">
        <f>C9</f>
        <v>0</v>
      </c>
      <c r="H35">
        <f>C10</f>
        <v>0</v>
      </c>
      <c r="I35">
        <f>C11</f>
        <v>0</v>
      </c>
      <c r="J35">
        <f>C12</f>
        <v>0</v>
      </c>
      <c r="K35" s="28">
        <f>C13</f>
        <v>0</v>
      </c>
      <c r="L35">
        <f>C14</f>
        <v>0</v>
      </c>
      <c r="M35" s="28">
        <f>C15</f>
        <v>0</v>
      </c>
      <c r="N35">
        <f>C16</f>
        <v>0</v>
      </c>
      <c r="O35" s="28">
        <f>C17</f>
        <v>0</v>
      </c>
      <c r="P35" s="28">
        <f t="shared" ref="P35:P36" si="8">D35*B35</f>
        <v>0</v>
      </c>
      <c r="Q35" s="28">
        <f t="shared" ref="Q35:Q72" si="9">G35</f>
        <v>0</v>
      </c>
      <c r="R35" s="28">
        <f t="shared" ref="R35:R72" si="10">H35</f>
        <v>0</v>
      </c>
      <c r="S35" s="28">
        <f t="shared" ref="S35:S72" si="11">I35</f>
        <v>0</v>
      </c>
      <c r="T35" s="28">
        <f t="shared" ref="T35:T36" si="12">E35*B35</f>
        <v>0</v>
      </c>
      <c r="U35">
        <f t="shared" ref="U35:U36" si="13">C35*B35</f>
        <v>0</v>
      </c>
      <c r="V35" s="260" t="e">
        <f>C21</f>
        <v>#DIV/0!</v>
      </c>
      <c r="W35" s="260" t="e">
        <f>C22</f>
        <v>#DIV/0!</v>
      </c>
      <c r="X35">
        <f>C23</f>
        <v>0</v>
      </c>
      <c r="Y35">
        <f>C24</f>
        <v>0</v>
      </c>
      <c r="Z35" s="260" t="e">
        <f>C25</f>
        <v>#DIV/0!</v>
      </c>
      <c r="AA35" s="260" t="e">
        <f>C27</f>
        <v>#DIV/0!</v>
      </c>
      <c r="AB35" t="e">
        <f>C28</f>
        <v>#DIV/0!</v>
      </c>
      <c r="AC35">
        <f>C29</f>
        <v>0</v>
      </c>
      <c r="AD35">
        <f>C30</f>
        <v>0</v>
      </c>
      <c r="AH35" s="1" t="s">
        <v>412</v>
      </c>
      <c r="AI35" s="1" t="s">
        <v>108</v>
      </c>
      <c r="AJ35" s="1" t="s">
        <v>19</v>
      </c>
      <c r="AK35" s="1" t="s">
        <v>960</v>
      </c>
      <c r="AM35" s="1" t="s">
        <v>412</v>
      </c>
      <c r="AN35" s="1" t="s">
        <v>108</v>
      </c>
      <c r="AO35" s="1" t="s">
        <v>19</v>
      </c>
      <c r="AP35" s="1" t="s">
        <v>960</v>
      </c>
      <c r="AR35" s="1" t="s">
        <v>412</v>
      </c>
      <c r="AS35" s="1" t="s">
        <v>108</v>
      </c>
      <c r="AT35" s="1" t="s">
        <v>19</v>
      </c>
      <c r="AU35" s="1" t="s">
        <v>960</v>
      </c>
      <c r="AW35" s="1" t="s">
        <v>412</v>
      </c>
      <c r="AX35" s="1" t="s">
        <v>108</v>
      </c>
      <c r="AY35" s="1" t="s">
        <v>19</v>
      </c>
      <c r="AZ35" s="1" t="s">
        <v>960</v>
      </c>
      <c r="BB35" s="1" t="s">
        <v>412</v>
      </c>
      <c r="BC35" s="1" t="s">
        <v>108</v>
      </c>
      <c r="BD35" s="1" t="s">
        <v>19</v>
      </c>
      <c r="BE35" s="1" t="s">
        <v>960</v>
      </c>
      <c r="BG35" s="1" t="s">
        <v>412</v>
      </c>
      <c r="BH35" s="1" t="s">
        <v>108</v>
      </c>
      <c r="BI35" s="1" t="s">
        <v>19</v>
      </c>
      <c r="BJ35" s="1" t="s">
        <v>960</v>
      </c>
      <c r="BL35" s="1" t="s">
        <v>412</v>
      </c>
      <c r="BM35" s="1" t="s">
        <v>108</v>
      </c>
      <c r="BN35" s="1" t="s">
        <v>19</v>
      </c>
      <c r="BO35" s="1" t="s">
        <v>960</v>
      </c>
      <c r="BQ35" s="1" t="s">
        <v>412</v>
      </c>
      <c r="BR35" s="1" t="s">
        <v>108</v>
      </c>
      <c r="BS35" s="1" t="s">
        <v>19</v>
      </c>
      <c r="BT35" s="1" t="s">
        <v>960</v>
      </c>
      <c r="BV35" s="1" t="s">
        <v>412</v>
      </c>
      <c r="BW35" s="1" t="s">
        <v>108</v>
      </c>
      <c r="BX35" s="1" t="s">
        <v>19</v>
      </c>
      <c r="BY35" s="1" t="s">
        <v>960</v>
      </c>
      <c r="CA35" s="1" t="s">
        <v>412</v>
      </c>
      <c r="CB35" s="1" t="s">
        <v>108</v>
      </c>
      <c r="CC35" s="1" t="s">
        <v>19</v>
      </c>
      <c r="CD35" s="1" t="s">
        <v>960</v>
      </c>
      <c r="CF35" s="1" t="s">
        <v>412</v>
      </c>
      <c r="CG35" s="1" t="s">
        <v>108</v>
      </c>
      <c r="CH35" s="1" t="s">
        <v>19</v>
      </c>
      <c r="CI35" s="1" t="s">
        <v>960</v>
      </c>
      <c r="CK35" s="1" t="s">
        <v>412</v>
      </c>
      <c r="CL35" s="1" t="s">
        <v>108</v>
      </c>
      <c r="CM35" s="1" t="s">
        <v>19</v>
      </c>
      <c r="CN35" s="1" t="s">
        <v>960</v>
      </c>
      <c r="CP35" s="1" t="s">
        <v>412</v>
      </c>
      <c r="CQ35" s="1" t="s">
        <v>108</v>
      </c>
      <c r="CR35" s="1" t="s">
        <v>19</v>
      </c>
      <c r="CS35" s="1" t="s">
        <v>960</v>
      </c>
      <c r="CU35" s="867" t="s">
        <v>412</v>
      </c>
      <c r="CV35" s="1" t="s">
        <v>108</v>
      </c>
      <c r="CW35" s="1" t="s">
        <v>19</v>
      </c>
      <c r="CX35" s="1" t="s">
        <v>960</v>
      </c>
      <c r="CZ35" s="1" t="s">
        <v>412</v>
      </c>
      <c r="DA35" s="1" t="s">
        <v>108</v>
      </c>
      <c r="DB35" s="1" t="s">
        <v>19</v>
      </c>
      <c r="DC35" s="1" t="s">
        <v>960</v>
      </c>
      <c r="DE35" s="1" t="s">
        <v>412</v>
      </c>
      <c r="DF35" s="1" t="s">
        <v>108</v>
      </c>
      <c r="DG35" s="1" t="s">
        <v>19</v>
      </c>
      <c r="DH35" s="1" t="s">
        <v>960</v>
      </c>
      <c r="DJ35" s="1" t="s">
        <v>412</v>
      </c>
      <c r="DK35" s="1" t="s">
        <v>108</v>
      </c>
      <c r="DL35" s="1" t="s">
        <v>19</v>
      </c>
      <c r="DM35" s="1" t="s">
        <v>960</v>
      </c>
      <c r="DO35" s="1" t="s">
        <v>412</v>
      </c>
      <c r="DP35" s="1" t="s">
        <v>108</v>
      </c>
      <c r="DQ35" s="1" t="s">
        <v>19</v>
      </c>
      <c r="DR35" s="1" t="s">
        <v>960</v>
      </c>
      <c r="DT35" s="1" t="s">
        <v>412</v>
      </c>
      <c r="DU35" s="1" t="s">
        <v>108</v>
      </c>
      <c r="DV35" s="1" t="s">
        <v>19</v>
      </c>
      <c r="DW35" s="1" t="s">
        <v>960</v>
      </c>
      <c r="DY35" s="1" t="s">
        <v>412</v>
      </c>
      <c r="DZ35" s="1" t="s">
        <v>108</v>
      </c>
      <c r="EA35" s="1" t="s">
        <v>19</v>
      </c>
      <c r="EB35" s="1" t="s">
        <v>960</v>
      </c>
      <c r="ED35" s="1" t="s">
        <v>412</v>
      </c>
      <c r="EE35" s="1" t="s">
        <v>108</v>
      </c>
      <c r="EF35" s="1" t="s">
        <v>19</v>
      </c>
      <c r="EG35" s="1" t="s">
        <v>960</v>
      </c>
      <c r="EI35" s="1" t="s">
        <v>412</v>
      </c>
      <c r="EJ35" s="1" t="s">
        <v>108</v>
      </c>
      <c r="EK35" s="1" t="s">
        <v>19</v>
      </c>
      <c r="EL35" s="1" t="s">
        <v>960</v>
      </c>
      <c r="EN35" s="1" t="s">
        <v>412</v>
      </c>
      <c r="EO35" s="1" t="s">
        <v>108</v>
      </c>
      <c r="EP35" s="1" t="s">
        <v>19</v>
      </c>
      <c r="EQ35" s="1" t="s">
        <v>960</v>
      </c>
      <c r="ES35" s="1" t="s">
        <v>412</v>
      </c>
      <c r="ET35" s="1" t="s">
        <v>108</v>
      </c>
      <c r="EU35" s="1" t="s">
        <v>19</v>
      </c>
      <c r="EV35" s="1" t="s">
        <v>960</v>
      </c>
      <c r="EX35" s="1" t="s">
        <v>412</v>
      </c>
      <c r="EY35" s="1" t="s">
        <v>108</v>
      </c>
      <c r="EZ35" s="1" t="s">
        <v>19</v>
      </c>
      <c r="FA35" s="1" t="s">
        <v>960</v>
      </c>
      <c r="FC35" s="1" t="s">
        <v>412</v>
      </c>
      <c r="FD35" s="1" t="s">
        <v>108</v>
      </c>
      <c r="FE35" s="1" t="s">
        <v>19</v>
      </c>
      <c r="FF35" s="1" t="s">
        <v>960</v>
      </c>
      <c r="FH35" s="1" t="s">
        <v>412</v>
      </c>
      <c r="FI35" s="1" t="s">
        <v>108</v>
      </c>
      <c r="FJ35" s="1" t="s">
        <v>19</v>
      </c>
      <c r="FK35" s="1" t="s">
        <v>960</v>
      </c>
      <c r="FM35" s="1" t="s">
        <v>412</v>
      </c>
      <c r="FN35" s="1" t="s">
        <v>108</v>
      </c>
      <c r="FO35" s="1" t="s">
        <v>19</v>
      </c>
      <c r="FP35" s="1" t="s">
        <v>960</v>
      </c>
      <c r="FR35" s="1" t="s">
        <v>412</v>
      </c>
      <c r="FS35" s="1" t="s">
        <v>108</v>
      </c>
      <c r="FT35" s="1" t="s">
        <v>19</v>
      </c>
      <c r="FU35" s="1" t="s">
        <v>960</v>
      </c>
      <c r="FW35" s="1" t="s">
        <v>412</v>
      </c>
      <c r="FX35" s="1" t="s">
        <v>108</v>
      </c>
      <c r="FY35" s="1" t="s">
        <v>19</v>
      </c>
      <c r="FZ35" s="1" t="s">
        <v>960</v>
      </c>
    </row>
    <row r="36" spans="1:182">
      <c r="A36">
        <f>D3</f>
        <v>0</v>
      </c>
      <c r="B36">
        <f>D4</f>
        <v>0</v>
      </c>
      <c r="C36">
        <f>D5</f>
        <v>0</v>
      </c>
      <c r="D36">
        <f>D6</f>
        <v>0</v>
      </c>
      <c r="E36">
        <f>D7</f>
        <v>0</v>
      </c>
      <c r="F36" s="28">
        <f>D8</f>
        <v>0</v>
      </c>
      <c r="G36">
        <f>D9</f>
        <v>0</v>
      </c>
      <c r="H36">
        <f>D10</f>
        <v>0</v>
      </c>
      <c r="I36">
        <f>D11</f>
        <v>0</v>
      </c>
      <c r="J36">
        <f>D12</f>
        <v>0</v>
      </c>
      <c r="K36" s="28">
        <f>D13</f>
        <v>0</v>
      </c>
      <c r="L36">
        <f>D14</f>
        <v>0</v>
      </c>
      <c r="M36" s="28">
        <f>D15</f>
        <v>0</v>
      </c>
      <c r="N36">
        <f>D16</f>
        <v>0</v>
      </c>
      <c r="O36" s="28">
        <f>D17</f>
        <v>0</v>
      </c>
      <c r="P36" s="28">
        <f t="shared" si="8"/>
        <v>0</v>
      </c>
      <c r="Q36" s="28">
        <f t="shared" si="9"/>
        <v>0</v>
      </c>
      <c r="R36" s="28">
        <f t="shared" si="10"/>
        <v>0</v>
      </c>
      <c r="S36" s="28">
        <f t="shared" si="11"/>
        <v>0</v>
      </c>
      <c r="T36" s="28">
        <f t="shared" si="12"/>
        <v>0</v>
      </c>
      <c r="U36">
        <f t="shared" si="13"/>
        <v>0</v>
      </c>
      <c r="V36" s="260" t="e">
        <f>D21</f>
        <v>#DIV/0!</v>
      </c>
      <c r="W36" s="260" t="e">
        <f>D22</f>
        <v>#DIV/0!</v>
      </c>
      <c r="X36">
        <f>D23</f>
        <v>0</v>
      </c>
      <c r="Y36">
        <f>D24</f>
        <v>0</v>
      </c>
      <c r="Z36" s="260" t="e">
        <f>D25</f>
        <v>#DIV/0!</v>
      </c>
      <c r="AA36" s="260" t="e">
        <f>D27</f>
        <v>#DIV/0!</v>
      </c>
      <c r="AB36" t="e">
        <f>D28</f>
        <v>#DIV/0!</v>
      </c>
      <c r="AC36">
        <f>D29</f>
        <v>0</v>
      </c>
      <c r="AD36">
        <f>D30</f>
        <v>0</v>
      </c>
      <c r="AH36" t="s">
        <v>985</v>
      </c>
      <c r="AJ36" t="s">
        <v>457</v>
      </c>
      <c r="AK36" t="str">
        <f>IFERROR((IFERROR(VLOOKUP(AH34,$A$34:$AD$72,11,FALSE),"0")+IFERROR(VLOOKUP(AI34,$A$34:$AD$72,11,FALSE),"0"))/AI56,"0")</f>
        <v>0</v>
      </c>
      <c r="AM36" t="s">
        <v>985</v>
      </c>
      <c r="AO36" t="s">
        <v>457</v>
      </c>
      <c r="AP36" t="str">
        <f>IFERROR((IFERROR(VLOOKUP(AM34,$A$34:$AD$72,11,FALSE),"0")+IFERROR(VLOOKUP(AN34,$A$34:$AD$72,11,FALSE),"0"))/AN56,"0")</f>
        <v>0</v>
      </c>
      <c r="AR36" t="s">
        <v>985</v>
      </c>
      <c r="AT36" t="s">
        <v>457</v>
      </c>
      <c r="AU36" t="str">
        <f>IFERROR((IFERROR(VLOOKUP(AR34,$A$34:$AD$72,11,FALSE),"0")+IFERROR(VLOOKUP(AS34,$A$34:$AD$72,11,FALSE),"0"))/AS56,"0")</f>
        <v>0</v>
      </c>
      <c r="AW36" t="s">
        <v>985</v>
      </c>
      <c r="AY36" t="s">
        <v>457</v>
      </c>
      <c r="AZ36" t="str">
        <f>IFERROR((IFERROR(VLOOKUP(AW34,$A$34:$AD$72,11,FALSE),"0")+IFERROR(VLOOKUP(AX34,$A$34:$AD$72,11,FALSE),"0"))/AX56,"0")</f>
        <v>0</v>
      </c>
      <c r="BB36" t="s">
        <v>985</v>
      </c>
      <c r="BD36" t="s">
        <v>457</v>
      </c>
      <c r="BE36" t="str">
        <f>IFERROR((IFERROR(VLOOKUP(BB34,$A$34:$AD$72,11,FALSE),"0")+IFERROR(VLOOKUP(BC34,$A$34:$AD$72,11,FALSE),"0"))/BC56,"0")</f>
        <v>0</v>
      </c>
      <c r="BG36" t="s">
        <v>985</v>
      </c>
      <c r="BI36" t="s">
        <v>457</v>
      </c>
      <c r="BJ36" t="str">
        <f>IFERROR((IFERROR(VLOOKUP(BG34,$A$34:$AD$72,11,FALSE),"0")+IFERROR(VLOOKUP(BH34,$A$34:$AD$72,11,FALSE),"0"))/BH56,"0")</f>
        <v>0</v>
      </c>
      <c r="BL36" t="s">
        <v>985</v>
      </c>
      <c r="BN36" t="s">
        <v>457</v>
      </c>
      <c r="BO36" t="str">
        <f>IFERROR((IFERROR(VLOOKUP(BL34,$A$34:$AD$72,11,FALSE),"0")+IFERROR(VLOOKUP(BM34,$A$34:$AD$72,11,FALSE),"0"))/BM56,"0")</f>
        <v>0</v>
      </c>
      <c r="BQ36" t="s">
        <v>985</v>
      </c>
      <c r="BS36" t="s">
        <v>457</v>
      </c>
      <c r="BT36" t="str">
        <f>IFERROR((IFERROR(VLOOKUP(BQ34,$A$34:$AD$72,11,FALSE),"0")+IFERROR(VLOOKUP(BR34,$A$34:$AD$72,11,FALSE),"0"))/BR56,"0")</f>
        <v>0</v>
      </c>
      <c r="BV36" t="s">
        <v>985</v>
      </c>
      <c r="BX36" t="s">
        <v>457</v>
      </c>
      <c r="BY36" t="str">
        <f>IFERROR((IFERROR(VLOOKUP(BV34,$A$34:$AD$72,11,FALSE),"0")+IFERROR(VLOOKUP(BW34,$A$34:$AD$72,11,FALSE),"0"))/BW56,"0")</f>
        <v>0</v>
      </c>
      <c r="CA36" t="s">
        <v>985</v>
      </c>
      <c r="CC36" t="s">
        <v>457</v>
      </c>
      <c r="CD36" t="str">
        <f>IFERROR((IFERROR(VLOOKUP(CA34,$A$34:$AD$72,11,FALSE),"0")+IFERROR(VLOOKUP(CB34,$A$34:$AD$72,11,FALSE),"0"))/CB56,"0")</f>
        <v>0</v>
      </c>
      <c r="CF36" t="s">
        <v>985</v>
      </c>
      <c r="CH36" t="s">
        <v>457</v>
      </c>
      <c r="CI36" t="str">
        <f>IFERROR((IFERROR(VLOOKUP(CF34,$A$34:$AD$72,11,FALSE),"0")+IFERROR(VLOOKUP(CG34,$A$34:$AD$72,11,FALSE),"0"))/CG56,"0")</f>
        <v>0</v>
      </c>
      <c r="CK36" t="s">
        <v>985</v>
      </c>
      <c r="CM36" t="s">
        <v>457</v>
      </c>
      <c r="CN36" t="str">
        <f>IFERROR((IFERROR(VLOOKUP(CK34,$A$34:$AD$72,11,FALSE),"0")+IFERROR(VLOOKUP(CL34,$A$34:$AD$72,11,FALSE),"0"))/CL56,"0")</f>
        <v>0</v>
      </c>
      <c r="CP36" t="s">
        <v>985</v>
      </c>
      <c r="CR36" t="s">
        <v>457</v>
      </c>
      <c r="CS36" t="str">
        <f>IFERROR((IFERROR(VLOOKUP(CP34,$A$34:$AD$72,11,FALSE),"0")+IFERROR(VLOOKUP(CQ34,$A$34:$AD$72,11,FALSE),"0"))/CQ56,"0")</f>
        <v>0</v>
      </c>
      <c r="CU36" t="s">
        <v>985</v>
      </c>
      <c r="CW36" t="s">
        <v>457</v>
      </c>
      <c r="CX36" t="str">
        <f>IFERROR((IFERROR(VLOOKUP(CU34,$A$34:$AD$72,11,FALSE),"0")+IFERROR(VLOOKUP(CV34,$A$34:$AD$72,11,FALSE),"0"))/CV56,"0")</f>
        <v>0</v>
      </c>
      <c r="CZ36" t="s">
        <v>985</v>
      </c>
      <c r="DB36" t="s">
        <v>457</v>
      </c>
      <c r="DC36" t="str">
        <f>IFERROR((IFERROR(VLOOKUP(CZ34,$A$34:$AD$72,11,FALSE),"0")+IFERROR(VLOOKUP(DA34,$A$34:$AD$72,11,FALSE),"0"))/DA56,"0")</f>
        <v>0</v>
      </c>
      <c r="DE36" t="s">
        <v>985</v>
      </c>
      <c r="DG36" t="s">
        <v>457</v>
      </c>
      <c r="DH36" t="str">
        <f>IFERROR((IFERROR(VLOOKUP(DE34,$A$34:$AD$72,11,FALSE),"0")+IFERROR(VLOOKUP(DF34,$A$34:$AD$72,11,FALSE),"0"))/DF56,"0")</f>
        <v>0</v>
      </c>
      <c r="DJ36" t="s">
        <v>985</v>
      </c>
      <c r="DL36" t="s">
        <v>457</v>
      </c>
      <c r="DM36" t="str">
        <f>IFERROR((IFERROR(VLOOKUP(DJ34,$A$34:$AD$72,11,FALSE),"0")+IFERROR(VLOOKUP(DK34,$A$34:$AD$72,11,FALSE),"0"))/DK56,"0")</f>
        <v>0</v>
      </c>
      <c r="DO36" t="s">
        <v>985</v>
      </c>
      <c r="DQ36" t="s">
        <v>457</v>
      </c>
      <c r="DR36" t="str">
        <f>IFERROR((IFERROR(VLOOKUP(DO34,$A$34:$AD$72,11,FALSE),"0")+IFERROR(VLOOKUP(DP34,$A$34:$AD$72,11,FALSE),"0"))/DP56,"0")</f>
        <v>0</v>
      </c>
      <c r="DT36" t="s">
        <v>985</v>
      </c>
      <c r="DV36" t="s">
        <v>457</v>
      </c>
      <c r="DW36" t="str">
        <f>IFERROR((IFERROR(VLOOKUP(DT34,$A$34:$AD$72,11,FALSE),"0")+IFERROR(VLOOKUP(DU34,$A$34:$AD$72,11,FALSE),"0"))/DU56,"0")</f>
        <v>0</v>
      </c>
      <c r="DY36" t="s">
        <v>985</v>
      </c>
      <c r="EA36" t="s">
        <v>457</v>
      </c>
      <c r="EB36" t="str">
        <f>IFERROR((IFERROR(VLOOKUP(DY34,$A$34:$AD$72,11,FALSE),"0")+IFERROR(VLOOKUP(DZ34,$A$34:$AD$72,11,FALSE),"0"))/DZ56,"0")</f>
        <v>0</v>
      </c>
      <c r="ED36" t="s">
        <v>985</v>
      </c>
      <c r="EF36" t="s">
        <v>457</v>
      </c>
      <c r="EG36" t="str">
        <f>IFERROR((IFERROR(VLOOKUP(ED34,$A$34:$AD$72,11,FALSE),"0")+IFERROR(VLOOKUP(EE34,$A$34:$AD$72,11,FALSE),"0"))/EE56,"0")</f>
        <v>0</v>
      </c>
      <c r="EI36" t="s">
        <v>985</v>
      </c>
      <c r="EK36" t="s">
        <v>457</v>
      </c>
      <c r="EL36" t="str">
        <f>IFERROR((IFERROR(VLOOKUP(EI34,$A$34:$AD$72,11,FALSE),"0")+IFERROR(VLOOKUP(EJ34,$A$34:$AD$72,11,FALSE),"0"))/EJ56,"0")</f>
        <v>0</v>
      </c>
      <c r="EN36" t="s">
        <v>985</v>
      </c>
      <c r="EP36" t="s">
        <v>457</v>
      </c>
      <c r="EQ36" t="str">
        <f>IFERROR((IFERROR(VLOOKUP(EN34,$A$34:$AD$72,11,FALSE),"0")+IFERROR(VLOOKUP(EO34,$A$34:$AD$72,11,FALSE),"0"))/EO56,"0")</f>
        <v>0</v>
      </c>
      <c r="ES36" t="s">
        <v>985</v>
      </c>
      <c r="EU36" t="s">
        <v>457</v>
      </c>
      <c r="EV36" t="str">
        <f>IFERROR((IFERROR(VLOOKUP(ES34,$A$34:$AD$72,11,FALSE),"0")+IFERROR(VLOOKUP(ET34,$A$34:$AD$72,11,FALSE),"0"))/ET56,"0")</f>
        <v>0</v>
      </c>
      <c r="EX36" t="s">
        <v>985</v>
      </c>
      <c r="EZ36" t="s">
        <v>457</v>
      </c>
      <c r="FA36" t="str">
        <f>IFERROR((IFERROR(VLOOKUP(EX34,$A$34:$AD$72,11,FALSE),"0")+IFERROR(VLOOKUP(EY34,$A$34:$AD$72,11,FALSE),"0"))/EY56,"0")</f>
        <v>0</v>
      </c>
      <c r="FC36" t="s">
        <v>985</v>
      </c>
      <c r="FE36" t="s">
        <v>457</v>
      </c>
      <c r="FF36" t="str">
        <f>IFERROR((IFERROR(VLOOKUP(FC34,$A$34:$AD$72,11,FALSE),"0")+IFERROR(VLOOKUP(FD34,$A$34:$AD$72,11,FALSE),"0"))/FD56,"0")</f>
        <v>0</v>
      </c>
      <c r="FH36" t="s">
        <v>985</v>
      </c>
      <c r="FJ36" t="s">
        <v>457</v>
      </c>
      <c r="FK36" t="str">
        <f>IFERROR((IFERROR(VLOOKUP(FH34,$A$34:$AD$72,11,FALSE),"0")+IFERROR(VLOOKUP(FI34,$A$34:$AD$72,11,FALSE),"0"))/FI56,"0")</f>
        <v>0</v>
      </c>
      <c r="FM36" t="s">
        <v>985</v>
      </c>
      <c r="FO36" t="s">
        <v>457</v>
      </c>
      <c r="FP36" t="str">
        <f>IFERROR((IFERROR(VLOOKUP(FM34,$A$34:$AD$72,11,FALSE),"0")+IFERROR(VLOOKUP(FN34,$A$34:$AD$72,11,FALSE),"0"))/FN56,"0")</f>
        <v>0</v>
      </c>
      <c r="FR36" t="s">
        <v>985</v>
      </c>
      <c r="FT36" t="s">
        <v>457</v>
      </c>
      <c r="FU36" t="str">
        <f>IFERROR((IFERROR(VLOOKUP(FR34,$A$34:$AD$72,11,FALSE),"0")+IFERROR(VLOOKUP(FS34,$A$34:$AD$72,11,FALSE),"0"))/FS56,"0")</f>
        <v>0</v>
      </c>
      <c r="FW36" t="s">
        <v>985</v>
      </c>
      <c r="FY36" t="s">
        <v>457</v>
      </c>
      <c r="FZ36" t="str">
        <f>IFERROR((IFERROR(VLOOKUP(FW34,$A$34:$AD$72,11,FALSE),"0")+IFERROR(VLOOKUP(FX34,$A$34:$AD$72,11,FALSE),"0"))/FX56,"0")</f>
        <v>0</v>
      </c>
    </row>
    <row r="37" spans="1:182">
      <c r="A37">
        <f>E3</f>
        <v>0</v>
      </c>
      <c r="B37">
        <f>E4</f>
        <v>0</v>
      </c>
      <c r="C37">
        <f>E5</f>
        <v>0</v>
      </c>
      <c r="D37">
        <f>E6</f>
        <v>0</v>
      </c>
      <c r="E37">
        <f>E7</f>
        <v>0</v>
      </c>
      <c r="F37" s="28">
        <f>E8</f>
        <v>0</v>
      </c>
      <c r="G37">
        <f>E9</f>
        <v>0</v>
      </c>
      <c r="H37">
        <f>E10</f>
        <v>0</v>
      </c>
      <c r="I37">
        <f>E11</f>
        <v>0</v>
      </c>
      <c r="J37">
        <f>E12</f>
        <v>0</v>
      </c>
      <c r="K37" s="28">
        <f>E13</f>
        <v>0</v>
      </c>
      <c r="L37">
        <f>E14</f>
        <v>0</v>
      </c>
      <c r="M37" s="28">
        <f>E15</f>
        <v>0</v>
      </c>
      <c r="N37">
        <f>E16</f>
        <v>0</v>
      </c>
      <c r="O37" s="28">
        <f>E17</f>
        <v>0</v>
      </c>
      <c r="P37" s="28">
        <f t="shared" ref="P37:P72" si="14">D37*B37</f>
        <v>0</v>
      </c>
      <c r="Q37" s="28">
        <f t="shared" si="9"/>
        <v>0</v>
      </c>
      <c r="R37" s="28">
        <f t="shared" si="10"/>
        <v>0</v>
      </c>
      <c r="S37" s="28">
        <f t="shared" si="11"/>
        <v>0</v>
      </c>
      <c r="T37" s="28">
        <f t="shared" ref="T37:T72" si="15">E37*B37</f>
        <v>0</v>
      </c>
      <c r="U37">
        <f t="shared" ref="U37:U72" si="16">C37*B37</f>
        <v>0</v>
      </c>
      <c r="V37" s="260" t="e">
        <f>E21</f>
        <v>#DIV/0!</v>
      </c>
      <c r="W37" s="260" t="e">
        <f>E22</f>
        <v>#DIV/0!</v>
      </c>
      <c r="X37">
        <f>E23</f>
        <v>0</v>
      </c>
      <c r="Y37">
        <f>E24</f>
        <v>0</v>
      </c>
      <c r="Z37" s="260" t="e">
        <f>E25</f>
        <v>#DIV/0!</v>
      </c>
      <c r="AA37" s="260" t="e">
        <f>E27</f>
        <v>#DIV/0!</v>
      </c>
      <c r="AB37" t="e">
        <f>E28</f>
        <v>#DIV/0!</v>
      </c>
      <c r="AC37">
        <f>E29</f>
        <v>0</v>
      </c>
      <c r="AD37">
        <f>E30</f>
        <v>0</v>
      </c>
      <c r="AH37" t="s">
        <v>986</v>
      </c>
      <c r="AJ37" t="s">
        <v>457</v>
      </c>
      <c r="AK37" t="str">
        <f>IFERROR((IFERROR(VLOOKUP(AH34,$A$34:$AD$72,13,FALSE),"0")+IFERROR(VLOOKUP(AI34,$A$34:$AD$72,13,FALSE),"0"))/AI56,"0")</f>
        <v>0</v>
      </c>
      <c r="AM37" t="s">
        <v>986</v>
      </c>
      <c r="AO37" t="s">
        <v>457</v>
      </c>
      <c r="AP37" t="str">
        <f>IFERROR((IFERROR(VLOOKUP(AM34,$A$34:$AD$72,13,FALSE),"0")+IFERROR(VLOOKUP(AN34,$A$34:$AD$72,13,FALSE),"0"))/AN56,"0")</f>
        <v>0</v>
      </c>
      <c r="AR37" t="s">
        <v>986</v>
      </c>
      <c r="AT37" t="s">
        <v>457</v>
      </c>
      <c r="AU37" t="str">
        <f>IFERROR((IFERROR(VLOOKUP(AR34,$A$34:$AD$72,13,FALSE),"0")+IFERROR(VLOOKUP(AS34,$A$34:$AD$72,13,FALSE),"0"))/AS56,"0")</f>
        <v>0</v>
      </c>
      <c r="AW37" t="s">
        <v>986</v>
      </c>
      <c r="AY37" t="s">
        <v>457</v>
      </c>
      <c r="AZ37" t="str">
        <f>IFERROR((IFERROR(VLOOKUP(AW34,$A$34:$AD$72,13,FALSE),"0")+IFERROR(VLOOKUP(AX34,$A$34:$AD$72,13,FALSE),"0"))/AX56,"0")</f>
        <v>0</v>
      </c>
      <c r="BB37" t="s">
        <v>986</v>
      </c>
      <c r="BD37" t="s">
        <v>457</v>
      </c>
      <c r="BE37" t="str">
        <f>IFERROR((IFERROR(VLOOKUP(BB34,$A$34:$AD$72,13,FALSE),"0")+IFERROR(VLOOKUP(BC34,$A$34:$AD$72,13,FALSE),"0"))/BC56,"0")</f>
        <v>0</v>
      </c>
      <c r="BG37" t="s">
        <v>986</v>
      </c>
      <c r="BI37" t="s">
        <v>457</v>
      </c>
      <c r="BJ37" t="str">
        <f>IFERROR((IFERROR(VLOOKUP(BG34,$A$34:$AD$72,13,FALSE),"0")+IFERROR(VLOOKUP(BH34,$A$34:$AD$72,13,FALSE),"0"))/BH56,"0")</f>
        <v>0</v>
      </c>
      <c r="BL37" t="s">
        <v>986</v>
      </c>
      <c r="BN37" t="s">
        <v>457</v>
      </c>
      <c r="BO37" t="str">
        <f>IFERROR((IFERROR(VLOOKUP(BL34,$A$34:$AD$72,13,FALSE),"0")+IFERROR(VLOOKUP(BM34,$A$34:$AD$72,13,FALSE),"0"))/BM56,"0")</f>
        <v>0</v>
      </c>
      <c r="BQ37" t="s">
        <v>986</v>
      </c>
      <c r="BS37" t="s">
        <v>457</v>
      </c>
      <c r="BT37" t="str">
        <f>IFERROR((IFERROR(VLOOKUP(BQ34,$A$34:$AD$72,13,FALSE),"0")+IFERROR(VLOOKUP(BR34,$A$34:$AD$72,13,FALSE),"0"))/BR56,"0")</f>
        <v>0</v>
      </c>
      <c r="BV37" t="s">
        <v>986</v>
      </c>
      <c r="BX37" t="s">
        <v>457</v>
      </c>
      <c r="BY37" t="str">
        <f>IFERROR((IFERROR(VLOOKUP(BV34,$A$34:$AD$72,13,FALSE),"0")+IFERROR(VLOOKUP(BW34,$A$34:$AD$72,13,FALSE),"0"))/BW56,"0")</f>
        <v>0</v>
      </c>
      <c r="CA37" t="s">
        <v>986</v>
      </c>
      <c r="CC37" t="s">
        <v>457</v>
      </c>
      <c r="CD37" t="str">
        <f>IFERROR((IFERROR(VLOOKUP(CA34,$A$34:$AD$72,13,FALSE),"0")+IFERROR(VLOOKUP(CB34,$A$34:$AD$72,13,FALSE),"0"))/CB56,"0")</f>
        <v>0</v>
      </c>
      <c r="CF37" t="s">
        <v>986</v>
      </c>
      <c r="CH37" t="s">
        <v>457</v>
      </c>
      <c r="CI37" t="str">
        <f>IFERROR((IFERROR(VLOOKUP(CF34,$A$34:$AD$72,13,FALSE),"0")+IFERROR(VLOOKUP(CG34,$A$34:$AD$72,13,FALSE),"0"))/CG56,"0")</f>
        <v>0</v>
      </c>
      <c r="CK37" t="s">
        <v>986</v>
      </c>
      <c r="CM37" t="s">
        <v>457</v>
      </c>
      <c r="CN37" t="str">
        <f>IFERROR((IFERROR(VLOOKUP(CK34,$A$34:$AD$72,13,FALSE),"0")+IFERROR(VLOOKUP(CL34,$A$34:$AD$72,13,FALSE),"0"))/CL56,"0")</f>
        <v>0</v>
      </c>
      <c r="CP37" t="s">
        <v>986</v>
      </c>
      <c r="CR37" t="s">
        <v>457</v>
      </c>
      <c r="CS37" t="str">
        <f>IFERROR((IFERROR(VLOOKUP(CP34,$A$34:$AD$72,13,FALSE),"0")+IFERROR(VLOOKUP(CQ34,$A$34:$AD$72,13,FALSE),"0"))/CQ56,"0")</f>
        <v>0</v>
      </c>
      <c r="CU37" t="s">
        <v>986</v>
      </c>
      <c r="CW37" t="s">
        <v>457</v>
      </c>
      <c r="CX37" t="str">
        <f>IFERROR((IFERROR(VLOOKUP(CU34,$A$34:$AD$72,13,FALSE),"0")+IFERROR(VLOOKUP(CV34,$A$34:$AD$72,13,FALSE),"0"))/CV56,"0")</f>
        <v>0</v>
      </c>
      <c r="CZ37" t="s">
        <v>986</v>
      </c>
      <c r="DB37" t="s">
        <v>457</v>
      </c>
      <c r="DC37" t="str">
        <f>IFERROR((IFERROR(VLOOKUP(CZ34,$A$34:$AD$72,13,FALSE),"0")+IFERROR(VLOOKUP(DA34,$A$34:$AD$72,13,FALSE),"0"))/DA56,"0")</f>
        <v>0</v>
      </c>
      <c r="DE37" t="s">
        <v>986</v>
      </c>
      <c r="DG37" t="s">
        <v>457</v>
      </c>
      <c r="DH37" t="str">
        <f>IFERROR((IFERROR(VLOOKUP(DE34,$A$34:$AD$72,13,FALSE),"0")+IFERROR(VLOOKUP(DF34,$A$34:$AD$72,13,FALSE),"0"))/DF56,"0")</f>
        <v>0</v>
      </c>
      <c r="DJ37" t="s">
        <v>986</v>
      </c>
      <c r="DL37" t="s">
        <v>457</v>
      </c>
      <c r="DM37" t="str">
        <f>IFERROR((IFERROR(VLOOKUP(DJ34,$A$34:$AD$72,13,FALSE),"0")+IFERROR(VLOOKUP(DK34,$A$34:$AD$72,13,FALSE),"0"))/DK56,"0")</f>
        <v>0</v>
      </c>
      <c r="DO37" t="s">
        <v>986</v>
      </c>
      <c r="DQ37" t="s">
        <v>457</v>
      </c>
      <c r="DR37" t="str">
        <f>IFERROR((IFERROR(VLOOKUP(DO34,$A$34:$AD$72,13,FALSE),"0")+IFERROR(VLOOKUP(DP34,$A$34:$AD$72,13,FALSE),"0"))/DP56,"0")</f>
        <v>0</v>
      </c>
      <c r="DT37" t="s">
        <v>986</v>
      </c>
      <c r="DV37" t="s">
        <v>457</v>
      </c>
      <c r="DW37" t="str">
        <f>IFERROR((IFERROR(VLOOKUP(DT34,$A$34:$AD$72,13,FALSE),"0")+IFERROR(VLOOKUP(DU34,$A$34:$AD$72,13,FALSE),"0"))/DU56,"0")</f>
        <v>0</v>
      </c>
      <c r="DY37" t="s">
        <v>986</v>
      </c>
      <c r="EA37" t="s">
        <v>457</v>
      </c>
      <c r="EB37" t="str">
        <f>IFERROR((IFERROR(VLOOKUP(DY34,$A$34:$AD$72,13,FALSE),"0")+IFERROR(VLOOKUP(DZ34,$A$34:$AD$72,13,FALSE),"0"))/DZ56,"0")</f>
        <v>0</v>
      </c>
      <c r="ED37" t="s">
        <v>986</v>
      </c>
      <c r="EF37" t="s">
        <v>457</v>
      </c>
      <c r="EG37" t="str">
        <f>IFERROR((IFERROR(VLOOKUP(ED34,$A$34:$AD$72,13,FALSE),"0")+IFERROR(VLOOKUP(EE34,$A$34:$AD$72,13,FALSE),"0"))/EE56,"0")</f>
        <v>0</v>
      </c>
      <c r="EI37" t="s">
        <v>986</v>
      </c>
      <c r="EK37" t="s">
        <v>457</v>
      </c>
      <c r="EL37" t="str">
        <f>IFERROR((IFERROR(VLOOKUP(EI34,$A$34:$AD$72,13,FALSE),"0")+IFERROR(VLOOKUP(EJ34,$A$34:$AD$72,13,FALSE),"0"))/EJ56,"0")</f>
        <v>0</v>
      </c>
      <c r="EN37" t="s">
        <v>986</v>
      </c>
      <c r="EP37" t="s">
        <v>457</v>
      </c>
      <c r="EQ37" t="str">
        <f>IFERROR((IFERROR(VLOOKUP(EN34,$A$34:$AD$72,13,FALSE),"0")+IFERROR(VLOOKUP(EO34,$A$34:$AD$72,13,FALSE),"0"))/EO56,"0")</f>
        <v>0</v>
      </c>
      <c r="ES37" t="s">
        <v>986</v>
      </c>
      <c r="EU37" t="s">
        <v>457</v>
      </c>
      <c r="EV37" t="str">
        <f>IFERROR((IFERROR(VLOOKUP(ES34,$A$34:$AD$72,13,FALSE),"0")+IFERROR(VLOOKUP(ET34,$A$34:$AD$72,13,FALSE),"0"))/ET56,"0")</f>
        <v>0</v>
      </c>
      <c r="EX37" t="s">
        <v>986</v>
      </c>
      <c r="EZ37" t="s">
        <v>457</v>
      </c>
      <c r="FA37" t="str">
        <f>IFERROR((IFERROR(VLOOKUP(EX34,$A$34:$AD$72,13,FALSE),"0")+IFERROR(VLOOKUP(EY34,$A$34:$AD$72,13,FALSE),"0"))/EY56,"0")</f>
        <v>0</v>
      </c>
      <c r="FC37" t="s">
        <v>986</v>
      </c>
      <c r="FE37" t="s">
        <v>457</v>
      </c>
      <c r="FF37" t="str">
        <f>IFERROR((IFERROR(VLOOKUP(FC34,$A$34:$AD$72,13,FALSE),"0")+IFERROR(VLOOKUP(FD34,$A$34:$AD$72,13,FALSE),"0"))/FD56,"0")</f>
        <v>0</v>
      </c>
      <c r="FH37" t="s">
        <v>986</v>
      </c>
      <c r="FJ37" t="s">
        <v>457</v>
      </c>
      <c r="FK37" t="str">
        <f>IFERROR((IFERROR(VLOOKUP(FH34,$A$34:$AD$72,13,FALSE),"0")+IFERROR(VLOOKUP(FI34,$A$34:$AD$72,13,FALSE),"0"))/FI56,"0")</f>
        <v>0</v>
      </c>
      <c r="FM37" t="s">
        <v>986</v>
      </c>
      <c r="FO37" t="s">
        <v>457</v>
      </c>
      <c r="FP37" t="str">
        <f>IFERROR((IFERROR(VLOOKUP(FM34,$A$34:$AD$72,13,FALSE),"0")+IFERROR(VLOOKUP(FN34,$A$34:$AD$72,13,FALSE),"0"))/FN56,"0")</f>
        <v>0</v>
      </c>
      <c r="FR37" t="s">
        <v>986</v>
      </c>
      <c r="FT37" t="s">
        <v>457</v>
      </c>
      <c r="FU37" t="str">
        <f>IFERROR((IFERROR(VLOOKUP(FR34,$A$34:$AD$72,13,FALSE),"0")+IFERROR(VLOOKUP(FS34,$A$34:$AD$72,13,FALSE),"0"))/FS56,"0")</f>
        <v>0</v>
      </c>
      <c r="FW37" t="s">
        <v>986</v>
      </c>
      <c r="FY37" t="s">
        <v>457</v>
      </c>
      <c r="FZ37" t="str">
        <f>IFERROR((IFERROR(VLOOKUP(FW34,$A$34:$AD$72,13,FALSE),"0")+IFERROR(VLOOKUP(FX34,$A$34:$AD$72,13,FALSE),"0"))/FX56,"0")</f>
        <v>0</v>
      </c>
    </row>
    <row r="38" spans="1:182">
      <c r="A38">
        <f>F3</f>
        <v>0</v>
      </c>
      <c r="B38">
        <f>F4</f>
        <v>0</v>
      </c>
      <c r="C38">
        <f>F5</f>
        <v>0</v>
      </c>
      <c r="D38">
        <f>F6</f>
        <v>0</v>
      </c>
      <c r="E38">
        <f>F7</f>
        <v>0</v>
      </c>
      <c r="F38" s="28">
        <f>F8</f>
        <v>0</v>
      </c>
      <c r="G38">
        <f>F9</f>
        <v>0</v>
      </c>
      <c r="H38">
        <f>F10</f>
        <v>0</v>
      </c>
      <c r="I38">
        <f>F11</f>
        <v>0</v>
      </c>
      <c r="J38">
        <f>F12</f>
        <v>0</v>
      </c>
      <c r="K38" s="28">
        <f>F13</f>
        <v>0</v>
      </c>
      <c r="L38">
        <f>F14</f>
        <v>0</v>
      </c>
      <c r="M38" s="28">
        <f>F15</f>
        <v>0</v>
      </c>
      <c r="N38">
        <f>F16</f>
        <v>0</v>
      </c>
      <c r="O38" s="28">
        <f>F17</f>
        <v>0</v>
      </c>
      <c r="P38" s="28">
        <f t="shared" si="14"/>
        <v>0</v>
      </c>
      <c r="Q38" s="28">
        <f t="shared" si="9"/>
        <v>0</v>
      </c>
      <c r="R38" s="28">
        <f t="shared" si="10"/>
        <v>0</v>
      </c>
      <c r="S38" s="28">
        <f t="shared" si="11"/>
        <v>0</v>
      </c>
      <c r="T38" s="28">
        <f t="shared" si="15"/>
        <v>0</v>
      </c>
      <c r="U38">
        <f t="shared" si="16"/>
        <v>0</v>
      </c>
      <c r="V38" s="260" t="e">
        <f>F21</f>
        <v>#DIV/0!</v>
      </c>
      <c r="W38" s="260" t="e">
        <f>F22</f>
        <v>#DIV/0!</v>
      </c>
      <c r="X38">
        <f>F23</f>
        <v>0</v>
      </c>
      <c r="Y38">
        <f>F24</f>
        <v>0</v>
      </c>
      <c r="Z38" s="260" t="e">
        <f>F25</f>
        <v>#DIV/0!</v>
      </c>
      <c r="AA38" s="260" t="e">
        <f>F27</f>
        <v>#DIV/0!</v>
      </c>
      <c r="AB38" t="e">
        <f>F28</f>
        <v>#DIV/0!</v>
      </c>
      <c r="AC38">
        <f>F29</f>
        <v>0</v>
      </c>
      <c r="AD38">
        <f>F30</f>
        <v>0</v>
      </c>
      <c r="AH38" t="s">
        <v>987</v>
      </c>
      <c r="AJ38" t="s">
        <v>457</v>
      </c>
      <c r="AK38" t="str">
        <f>IFERROR((IFERROR(VLOOKUP(AH34,$A$34:$AD$72,15,FALSE),"0")+IFERROR(VLOOKUP(AI34,$A$34:$AD$72,15,FALSE),"0"))/AI56,"0")</f>
        <v>0</v>
      </c>
      <c r="AM38" t="s">
        <v>987</v>
      </c>
      <c r="AO38" t="s">
        <v>457</v>
      </c>
      <c r="AP38" t="str">
        <f>IFERROR((IFERROR(VLOOKUP(AM34,$A$34:$AD$72,15,FALSE),"0")+IFERROR(VLOOKUP(AN34,$A$34:$AD$72,15,FALSE),"0"))/AN56,"0")</f>
        <v>0</v>
      </c>
      <c r="AR38" t="s">
        <v>987</v>
      </c>
      <c r="AT38" t="s">
        <v>457</v>
      </c>
      <c r="AU38" t="str">
        <f>IFERROR((IFERROR(VLOOKUP(AR34,$A$34:$AD$72,15,FALSE),"0")+IFERROR(VLOOKUP(AS34,$A$34:$AD$72,15,FALSE),"0"))/AS56,"0")</f>
        <v>0</v>
      </c>
      <c r="AW38" t="s">
        <v>987</v>
      </c>
      <c r="AY38" t="s">
        <v>457</v>
      </c>
      <c r="AZ38" t="str">
        <f>IFERROR((IFERROR(VLOOKUP(AW34,$A$34:$AD$72,15,FALSE),"0")+IFERROR(VLOOKUP(AX34,$A$34:$AD$72,15,FALSE),"0"))/AX56,"0")</f>
        <v>0</v>
      </c>
      <c r="BB38" t="s">
        <v>987</v>
      </c>
      <c r="BD38" t="s">
        <v>457</v>
      </c>
      <c r="BE38" t="str">
        <f>IFERROR((IFERROR(VLOOKUP(BB34,$A$34:$AD$72,15,FALSE),"0")+IFERROR(VLOOKUP(BC34,$A$34:$AD$72,15,FALSE),"0"))/BC56,"0")</f>
        <v>0</v>
      </c>
      <c r="BG38" t="s">
        <v>987</v>
      </c>
      <c r="BI38" t="s">
        <v>457</v>
      </c>
      <c r="BJ38" t="str">
        <f>IFERROR((IFERROR(VLOOKUP(BG34,$A$34:$AD$72,15,FALSE),"0")+IFERROR(VLOOKUP(BH34,$A$34:$AD$72,15,FALSE),"0"))/BH56,"0")</f>
        <v>0</v>
      </c>
      <c r="BL38" t="s">
        <v>987</v>
      </c>
      <c r="BN38" t="s">
        <v>457</v>
      </c>
      <c r="BO38" t="str">
        <f>IFERROR((IFERROR(VLOOKUP(BL34,$A$34:$AD$72,15,FALSE),"0")+IFERROR(VLOOKUP(BM34,$A$34:$AD$72,15,FALSE),"0"))/BM56,"0")</f>
        <v>0</v>
      </c>
      <c r="BQ38" t="s">
        <v>987</v>
      </c>
      <c r="BS38" t="s">
        <v>457</v>
      </c>
      <c r="BT38" t="str">
        <f>IFERROR((IFERROR(VLOOKUP(BQ34,$A$34:$AD$72,15,FALSE),"0")+IFERROR(VLOOKUP(BR34,$A$34:$AD$72,15,FALSE),"0"))/BR56,"0")</f>
        <v>0</v>
      </c>
      <c r="BV38" t="s">
        <v>987</v>
      </c>
      <c r="BX38" t="s">
        <v>457</v>
      </c>
      <c r="BY38" t="str">
        <f>IFERROR((IFERROR(VLOOKUP(BV34,$A$34:$AD$72,15,FALSE),"0")+IFERROR(VLOOKUP(BW34,$A$34:$AD$72,15,FALSE),"0"))/BW56,"0")</f>
        <v>0</v>
      </c>
      <c r="CA38" t="s">
        <v>987</v>
      </c>
      <c r="CC38" t="s">
        <v>457</v>
      </c>
      <c r="CD38" t="str">
        <f>IFERROR((IFERROR(VLOOKUP(CA34,$A$34:$AD$72,15,FALSE),"0")+IFERROR(VLOOKUP(CB34,$A$34:$AD$72,15,FALSE),"0"))/CB56,"0")</f>
        <v>0</v>
      </c>
      <c r="CF38" t="s">
        <v>987</v>
      </c>
      <c r="CH38" t="s">
        <v>457</v>
      </c>
      <c r="CI38" t="str">
        <f>IFERROR((IFERROR(VLOOKUP(CF34,$A$34:$AD$72,15,FALSE),"0")+IFERROR(VLOOKUP(CG34,$A$34:$AD$72,15,FALSE),"0"))/CG56,"0")</f>
        <v>0</v>
      </c>
      <c r="CK38" t="s">
        <v>987</v>
      </c>
      <c r="CM38" t="s">
        <v>457</v>
      </c>
      <c r="CN38" t="str">
        <f>IFERROR((IFERROR(VLOOKUP(CK34,$A$34:$AD$72,15,FALSE),"0")+IFERROR(VLOOKUP(CL34,$A$34:$AD$72,15,FALSE),"0"))/CL56,"0")</f>
        <v>0</v>
      </c>
      <c r="CP38" t="s">
        <v>987</v>
      </c>
      <c r="CR38" t="s">
        <v>457</v>
      </c>
      <c r="CS38" t="str">
        <f>IFERROR((IFERROR(VLOOKUP(CP34,$A$34:$AD$72,15,FALSE),"0")+IFERROR(VLOOKUP(CQ34,$A$34:$AD$72,15,FALSE),"0"))/CQ56,"0")</f>
        <v>0</v>
      </c>
      <c r="CU38" t="s">
        <v>987</v>
      </c>
      <c r="CW38" t="s">
        <v>457</v>
      </c>
      <c r="CX38" t="str">
        <f>IFERROR((IFERROR(VLOOKUP(CU34,$A$34:$AD$72,15,FALSE),"0")+IFERROR(VLOOKUP(CV34,$A$34:$AD$72,15,FALSE),"0"))/CV56,"0")</f>
        <v>0</v>
      </c>
      <c r="CZ38" t="s">
        <v>987</v>
      </c>
      <c r="DB38" t="s">
        <v>457</v>
      </c>
      <c r="DC38" t="str">
        <f>IFERROR((IFERROR(VLOOKUP(CZ34,$A$34:$AD$72,15,FALSE),"0")+IFERROR(VLOOKUP(DA34,$A$34:$AD$72,15,FALSE),"0"))/DA56,"0")</f>
        <v>0</v>
      </c>
      <c r="DE38" t="s">
        <v>987</v>
      </c>
      <c r="DG38" t="s">
        <v>457</v>
      </c>
      <c r="DH38" t="str">
        <f>IFERROR((IFERROR(VLOOKUP(DE34,$A$34:$AD$72,15,FALSE),"0")+IFERROR(VLOOKUP(DF34,$A$34:$AD$72,15,FALSE),"0"))/DF56,"0")</f>
        <v>0</v>
      </c>
      <c r="DJ38" t="s">
        <v>987</v>
      </c>
      <c r="DL38" t="s">
        <v>457</v>
      </c>
      <c r="DM38" t="str">
        <f>IFERROR((IFERROR(VLOOKUP(DJ34,$A$34:$AD$72,15,FALSE),"0")+IFERROR(VLOOKUP(DK34,$A$34:$AD$72,15,FALSE),"0"))/DK56,"0")</f>
        <v>0</v>
      </c>
      <c r="DO38" t="s">
        <v>987</v>
      </c>
      <c r="DQ38" t="s">
        <v>457</v>
      </c>
      <c r="DR38" t="str">
        <f>IFERROR((IFERROR(VLOOKUP(DO34,$A$34:$AD$72,15,FALSE),"0")+IFERROR(VLOOKUP(DP34,$A$34:$AD$72,15,FALSE),"0"))/DP56,"0")</f>
        <v>0</v>
      </c>
      <c r="DT38" t="s">
        <v>987</v>
      </c>
      <c r="DV38" t="s">
        <v>457</v>
      </c>
      <c r="DW38" t="str">
        <f>IFERROR((IFERROR(VLOOKUP(DT34,$A$34:$AD$72,15,FALSE),"0")+IFERROR(VLOOKUP(DU34,$A$34:$AD$72,15,FALSE),"0"))/DU56,"0")</f>
        <v>0</v>
      </c>
      <c r="DY38" t="s">
        <v>987</v>
      </c>
      <c r="EA38" t="s">
        <v>457</v>
      </c>
      <c r="EB38" t="str">
        <f>IFERROR((IFERROR(VLOOKUP(DY34,$A$34:$AD$72,15,FALSE),"0")+IFERROR(VLOOKUP(DZ34,$A$34:$AD$72,15,FALSE),"0"))/DZ56,"0")</f>
        <v>0</v>
      </c>
      <c r="ED38" t="s">
        <v>987</v>
      </c>
      <c r="EF38" t="s">
        <v>457</v>
      </c>
      <c r="EG38" t="str">
        <f>IFERROR((IFERROR(VLOOKUP(ED34,$A$34:$AD$72,15,FALSE),"0")+IFERROR(VLOOKUP(EE34,$A$34:$AD$72,15,FALSE),"0"))/EE56,"0")</f>
        <v>0</v>
      </c>
      <c r="EI38" t="s">
        <v>987</v>
      </c>
      <c r="EK38" t="s">
        <v>457</v>
      </c>
      <c r="EL38" t="str">
        <f>IFERROR((IFERROR(VLOOKUP(EI34,$A$34:$AD$72,15,FALSE),"0")+IFERROR(VLOOKUP(EJ34,$A$34:$AD$72,15,FALSE),"0"))/EJ56,"0")</f>
        <v>0</v>
      </c>
      <c r="EN38" t="s">
        <v>987</v>
      </c>
      <c r="EP38" t="s">
        <v>457</v>
      </c>
      <c r="EQ38" t="str">
        <f>IFERROR((IFERROR(VLOOKUP(EN34,$A$34:$AD$72,15,FALSE),"0")+IFERROR(VLOOKUP(EO34,$A$34:$AD$72,15,FALSE),"0"))/EO56,"0")</f>
        <v>0</v>
      </c>
      <c r="ES38" t="s">
        <v>987</v>
      </c>
      <c r="EU38" t="s">
        <v>457</v>
      </c>
      <c r="EV38" t="str">
        <f>IFERROR((IFERROR(VLOOKUP(ES34,$A$34:$AD$72,15,FALSE),"0")+IFERROR(VLOOKUP(ET34,$A$34:$AD$72,15,FALSE),"0"))/ET56,"0")</f>
        <v>0</v>
      </c>
      <c r="EX38" t="s">
        <v>987</v>
      </c>
      <c r="EZ38" t="s">
        <v>457</v>
      </c>
      <c r="FA38" t="str">
        <f>IFERROR((IFERROR(VLOOKUP(EX34,$A$34:$AD$72,15,FALSE),"0")+IFERROR(VLOOKUP(EY34,$A$34:$AD$72,15,FALSE),"0"))/EY56,"0")</f>
        <v>0</v>
      </c>
      <c r="FC38" t="s">
        <v>987</v>
      </c>
      <c r="FE38" t="s">
        <v>457</v>
      </c>
      <c r="FF38" t="str">
        <f>IFERROR((IFERROR(VLOOKUP(FC34,$A$34:$AD$72,15,FALSE),"0")+IFERROR(VLOOKUP(FD34,$A$34:$AD$72,15,FALSE),"0"))/FD56,"0")</f>
        <v>0</v>
      </c>
      <c r="FH38" t="s">
        <v>987</v>
      </c>
      <c r="FJ38" t="s">
        <v>457</v>
      </c>
      <c r="FK38" t="str">
        <f>IFERROR((IFERROR(VLOOKUP(FH34,$A$34:$AD$72,15,FALSE),"0")+IFERROR(VLOOKUP(FI34,$A$34:$AD$72,15,FALSE),"0"))/FI56,"0")</f>
        <v>0</v>
      </c>
      <c r="FM38" t="s">
        <v>987</v>
      </c>
      <c r="FO38" t="s">
        <v>457</v>
      </c>
      <c r="FP38" t="str">
        <f>IFERROR((IFERROR(VLOOKUP(FM34,$A$34:$AD$72,15,FALSE),"0")+IFERROR(VLOOKUP(FN34,$A$34:$AD$72,15,FALSE),"0"))/FN56,"0")</f>
        <v>0</v>
      </c>
      <c r="FR38" t="s">
        <v>987</v>
      </c>
      <c r="FT38" t="s">
        <v>457</v>
      </c>
      <c r="FU38" t="str">
        <f>IFERROR((IFERROR(VLOOKUP(FR34,$A$34:$AD$72,15,FALSE),"0")+IFERROR(VLOOKUP(FS34,$A$34:$AD$72,15,FALSE),"0"))/FS56,"0")</f>
        <v>0</v>
      </c>
      <c r="FW38" t="s">
        <v>987</v>
      </c>
      <c r="FY38" t="s">
        <v>457</v>
      </c>
      <c r="FZ38" t="str">
        <f>IFERROR((IFERROR(VLOOKUP(FW34,$A$34:$AD$72,15,FALSE),"0")+IFERROR(VLOOKUP(FX34,$A$34:$AD$72,15,FALSE),"0"))/FX56,"0")</f>
        <v>0</v>
      </c>
    </row>
    <row r="39" spans="1:182">
      <c r="A39">
        <f>G3</f>
        <v>0</v>
      </c>
      <c r="B39">
        <f>G4</f>
        <v>0</v>
      </c>
      <c r="C39">
        <f>G5</f>
        <v>0</v>
      </c>
      <c r="D39">
        <f>G6</f>
        <v>0</v>
      </c>
      <c r="E39">
        <f>G7</f>
        <v>0</v>
      </c>
      <c r="F39" s="28">
        <f>G8</f>
        <v>0</v>
      </c>
      <c r="G39">
        <f>G9</f>
        <v>0</v>
      </c>
      <c r="H39">
        <f>G10</f>
        <v>0</v>
      </c>
      <c r="I39">
        <f>G11</f>
        <v>0</v>
      </c>
      <c r="J39">
        <f>G12</f>
        <v>0</v>
      </c>
      <c r="K39" s="28">
        <f>G13</f>
        <v>0</v>
      </c>
      <c r="L39">
        <f>G14</f>
        <v>0</v>
      </c>
      <c r="M39" s="28">
        <f>G15</f>
        <v>0</v>
      </c>
      <c r="N39">
        <f>G16</f>
        <v>0</v>
      </c>
      <c r="O39" s="28">
        <f>G17</f>
        <v>0</v>
      </c>
      <c r="P39" s="28">
        <f t="shared" si="14"/>
        <v>0</v>
      </c>
      <c r="Q39" s="28">
        <f t="shared" si="9"/>
        <v>0</v>
      </c>
      <c r="R39" s="28">
        <f t="shared" si="10"/>
        <v>0</v>
      </c>
      <c r="S39" s="28">
        <f t="shared" si="11"/>
        <v>0</v>
      </c>
      <c r="T39" s="28">
        <f t="shared" si="15"/>
        <v>0</v>
      </c>
      <c r="U39">
        <f t="shared" si="16"/>
        <v>0</v>
      </c>
      <c r="V39" s="260" t="e">
        <f>G21</f>
        <v>#DIV/0!</v>
      </c>
      <c r="W39" s="260" t="e">
        <f>G22</f>
        <v>#DIV/0!</v>
      </c>
      <c r="X39">
        <f>G23</f>
        <v>0</v>
      </c>
      <c r="Y39">
        <f>G24</f>
        <v>0</v>
      </c>
      <c r="Z39" s="260" t="e">
        <f>G25</f>
        <v>#DIV/0!</v>
      </c>
      <c r="AA39" s="260" t="e">
        <f>G27</f>
        <v>#DIV/0!</v>
      </c>
      <c r="AB39" t="e">
        <f>G28</f>
        <v>#DIV/0!</v>
      </c>
      <c r="AC39">
        <f>G29</f>
        <v>0</v>
      </c>
      <c r="AD39">
        <f>G30</f>
        <v>0</v>
      </c>
      <c r="AH39" t="s">
        <v>988</v>
      </c>
      <c r="AK39" t="str">
        <f>IFERROR((IFERROR(VLOOKUP(AH34,$A$34:$AD$72,27,FALSE),"0")+IFERROR(VLOOKUP(AI34,$A$34:$AD$72,27,FALSE),"0"))/AI56,"0")</f>
        <v>0</v>
      </c>
      <c r="AM39" t="s">
        <v>988</v>
      </c>
      <c r="AP39" t="str">
        <f>IFERROR((IFERROR(VLOOKUP(AM34,$A$34:$AD$72,27,FALSE),"0")+IFERROR(VLOOKUP(AN34,$A$34:$AD$72,27,FALSE),"0"))/AN56,"0")</f>
        <v>0</v>
      </c>
      <c r="AR39" t="s">
        <v>988</v>
      </c>
      <c r="AU39" t="str">
        <f>IFERROR((IFERROR(VLOOKUP(AR34,$A$34:$AD$72,27,FALSE),"0")+IFERROR(VLOOKUP(AS34,$A$34:$AD$72,27,FALSE),"0"))/AS56,"0")</f>
        <v>0</v>
      </c>
      <c r="AW39" t="s">
        <v>988</v>
      </c>
      <c r="AZ39" t="str">
        <f>IFERROR((IFERROR(VLOOKUP(AW34,$A$34:$AD$72,27,FALSE),"0")+IFERROR(VLOOKUP(AX34,$A$34:$AD$72,27,FALSE),"0"))/AX56,"0")</f>
        <v>0</v>
      </c>
      <c r="BB39" t="s">
        <v>988</v>
      </c>
      <c r="BE39" t="str">
        <f>IFERROR((IFERROR(VLOOKUP(BB34,$A$34:$AD$72,27,FALSE),"0")+IFERROR(VLOOKUP(BC34,$A$34:$AD$72,27,FALSE),"0"))/BC56,"0")</f>
        <v>0</v>
      </c>
      <c r="BG39" t="s">
        <v>988</v>
      </c>
      <c r="BJ39" t="str">
        <f>IFERROR((IFERROR(VLOOKUP(BG34,$A$34:$AD$72,27,FALSE),"0")+IFERROR(VLOOKUP(BH34,$A$34:$AD$72,27,FALSE),"0"))/BH56,"0")</f>
        <v>0</v>
      </c>
      <c r="BL39" t="s">
        <v>988</v>
      </c>
      <c r="BO39" t="str">
        <f>IFERROR((IFERROR(VLOOKUP(BL34,$A$34:$AD$72,27,FALSE),"0")+IFERROR(VLOOKUP(BM34,$A$34:$AD$72,27,FALSE),"0"))/BM56,"0")</f>
        <v>0</v>
      </c>
      <c r="BQ39" t="s">
        <v>988</v>
      </c>
      <c r="BT39" t="str">
        <f>IFERROR((IFERROR(VLOOKUP(BQ34,$A$34:$AD$72,27,FALSE),"0")+IFERROR(VLOOKUP(BR34,$A$34:$AD$72,27,FALSE),"0"))/BR56,"0")</f>
        <v>0</v>
      </c>
      <c r="BV39" t="s">
        <v>988</v>
      </c>
      <c r="BY39" t="str">
        <f>IFERROR((IFERROR(VLOOKUP(BV34,$A$34:$AD$72,27,FALSE),"0")+IFERROR(VLOOKUP(BW34,$A$34:$AD$72,27,FALSE),"0"))/BW56,"0")</f>
        <v>0</v>
      </c>
      <c r="CA39" t="s">
        <v>988</v>
      </c>
      <c r="CD39" t="str">
        <f>IFERROR((IFERROR(VLOOKUP(CA34,$A$34:$AD$72,27,FALSE),"0")+IFERROR(VLOOKUP(CB34,$A$34:$AD$72,27,FALSE),"0"))/CB56,"0")</f>
        <v>0</v>
      </c>
      <c r="CF39" t="s">
        <v>988</v>
      </c>
      <c r="CI39" t="str">
        <f>IFERROR((IFERROR(VLOOKUP(CF34,$A$34:$AD$72,27,FALSE),"0")+IFERROR(VLOOKUP(CG34,$A$34:$AD$72,27,FALSE),"0"))/CG56,"0")</f>
        <v>0</v>
      </c>
      <c r="CK39" t="s">
        <v>988</v>
      </c>
      <c r="CN39" t="str">
        <f>IFERROR((IFERROR(VLOOKUP(CK34,$A$34:$AD$72,27,FALSE),"0")+IFERROR(VLOOKUP(CL34,$A$34:$AD$72,27,FALSE),"0"))/CL56,"0")</f>
        <v>0</v>
      </c>
      <c r="CP39" t="s">
        <v>988</v>
      </c>
      <c r="CS39" t="str">
        <f>IFERROR((IFERROR(VLOOKUP(CP34,$A$34:$AD$72,27,FALSE),"0")+IFERROR(VLOOKUP(CQ34,$A$34:$AD$72,27,FALSE),"0"))/CQ56,"0")</f>
        <v>0</v>
      </c>
      <c r="CU39" t="s">
        <v>988</v>
      </c>
      <c r="CX39" t="str">
        <f>IFERROR((IFERROR(VLOOKUP(CU34,$A$34:$AD$72,27,FALSE),"0")+IFERROR(VLOOKUP(CV34,$A$34:$AD$72,27,FALSE),"0"))/CV56,"0")</f>
        <v>0</v>
      </c>
      <c r="CZ39" t="s">
        <v>988</v>
      </c>
      <c r="DC39" t="str">
        <f>IFERROR((IFERROR(VLOOKUP(CZ34,$A$34:$AD$72,27,FALSE),"0")+IFERROR(VLOOKUP(DA34,$A$34:$AD$72,27,FALSE),"0"))/DA56,"0")</f>
        <v>0</v>
      </c>
      <c r="DE39" t="s">
        <v>988</v>
      </c>
      <c r="DH39" t="str">
        <f>IFERROR((IFERROR(VLOOKUP(DE34,$A$34:$AD$72,27,FALSE),"0")+IFERROR(VLOOKUP(DF34,$A$34:$AD$72,27,FALSE),"0"))/DF56,"0")</f>
        <v>0</v>
      </c>
      <c r="DJ39" t="s">
        <v>988</v>
      </c>
      <c r="DM39" t="str">
        <f>IFERROR((IFERROR(VLOOKUP(DJ34,$A$34:$AD$72,27,FALSE),"0")+IFERROR(VLOOKUP(DK34,$A$34:$AD$72,27,FALSE),"0"))/DK56,"0")</f>
        <v>0</v>
      </c>
      <c r="DO39" t="s">
        <v>988</v>
      </c>
      <c r="DR39" t="str">
        <f>IFERROR((IFERROR(VLOOKUP(DO34,$A$34:$AD$72,27,FALSE),"0")+IFERROR(VLOOKUP(DP34,$A$34:$AD$72,27,FALSE),"0"))/DP56,"0")</f>
        <v>0</v>
      </c>
      <c r="DT39" t="s">
        <v>988</v>
      </c>
      <c r="DW39" t="str">
        <f>IFERROR((IFERROR(VLOOKUP(DT34,$A$34:$AD$72,27,FALSE),"0")+IFERROR(VLOOKUP(DU34,$A$34:$AD$72,27,FALSE),"0"))/DU56,"0")</f>
        <v>0</v>
      </c>
      <c r="DY39" t="s">
        <v>988</v>
      </c>
      <c r="EB39" t="str">
        <f>IFERROR((IFERROR(VLOOKUP(DY34,$A$34:$AD$72,27,FALSE),"0")+IFERROR(VLOOKUP(DZ34,$A$34:$AD$72,27,FALSE),"0"))/DZ56,"0")</f>
        <v>0</v>
      </c>
      <c r="ED39" t="s">
        <v>988</v>
      </c>
      <c r="EG39" t="str">
        <f>IFERROR((IFERROR(VLOOKUP(ED34,$A$34:$AD$72,27,FALSE),"0")+IFERROR(VLOOKUP(EE34,$A$34:$AD$72,27,FALSE),"0"))/EE56,"0")</f>
        <v>0</v>
      </c>
      <c r="EI39" t="s">
        <v>988</v>
      </c>
      <c r="EL39" t="str">
        <f>IFERROR((IFERROR(VLOOKUP(EI34,$A$34:$AD$72,27,FALSE),"0")+IFERROR(VLOOKUP(EJ34,$A$34:$AD$72,27,FALSE),"0"))/EJ56,"0")</f>
        <v>0</v>
      </c>
      <c r="EN39" t="s">
        <v>988</v>
      </c>
      <c r="EQ39" t="str">
        <f>IFERROR((IFERROR(VLOOKUP(EN34,$A$34:$AD$72,27,FALSE),"0")+IFERROR(VLOOKUP(EO34,$A$34:$AD$72,27,FALSE),"0"))/EO56,"0")</f>
        <v>0</v>
      </c>
      <c r="ES39" t="s">
        <v>988</v>
      </c>
      <c r="EV39" t="str">
        <f>IFERROR((IFERROR(VLOOKUP(ES34,$A$34:$AD$72,27,FALSE),"0")+IFERROR(VLOOKUP(ET34,$A$34:$AD$72,27,FALSE),"0"))/ET56,"0")</f>
        <v>0</v>
      </c>
      <c r="EX39" t="s">
        <v>988</v>
      </c>
      <c r="FA39" t="str">
        <f>IFERROR((IFERROR(VLOOKUP(EX34,$A$34:$AD$72,27,FALSE),"0")+IFERROR(VLOOKUP(EY34,$A$34:$AD$72,27,FALSE),"0"))/EY56,"0")</f>
        <v>0</v>
      </c>
      <c r="FC39" t="s">
        <v>988</v>
      </c>
      <c r="FF39" t="str">
        <f>IFERROR((IFERROR(VLOOKUP(FC34,$A$34:$AD$72,27,FALSE),"0")+IFERROR(VLOOKUP(FD34,$A$34:$AD$72,27,FALSE),"0"))/FD56,"0")</f>
        <v>0</v>
      </c>
      <c r="FH39" t="s">
        <v>988</v>
      </c>
      <c r="FK39" t="str">
        <f>IFERROR((IFERROR(VLOOKUP(FH34,$A$34:$AD$72,27,FALSE),"0")+IFERROR(VLOOKUP(FI34,$A$34:$AD$72,27,FALSE),"0"))/FI56,"0")</f>
        <v>0</v>
      </c>
      <c r="FM39" t="s">
        <v>988</v>
      </c>
      <c r="FP39" t="str">
        <f>IFERROR((IFERROR(VLOOKUP(FM34,$A$34:$AD$72,27,FALSE),"0")+IFERROR(VLOOKUP(FN34,$A$34:$AD$72,27,FALSE),"0"))/FN56,"0")</f>
        <v>0</v>
      </c>
      <c r="FR39" t="s">
        <v>988</v>
      </c>
      <c r="FU39" t="str">
        <f>IFERROR((IFERROR(VLOOKUP(FR34,$A$34:$AD$72,27,FALSE),"0")+IFERROR(VLOOKUP(FS34,$A$34:$AD$72,27,FALSE),"0"))/FS56,"0")</f>
        <v>0</v>
      </c>
      <c r="FW39" t="s">
        <v>988</v>
      </c>
      <c r="FZ39" t="str">
        <f>IFERROR((IFERROR(VLOOKUP(FW34,$A$34:$AD$72,27,FALSE),"0")+IFERROR(VLOOKUP(FX34,$A$34:$AD$72,27,FALSE),"0"))/FX56,"0")</f>
        <v>0</v>
      </c>
    </row>
    <row r="40" spans="1:182">
      <c r="A40">
        <f>H3</f>
        <v>0</v>
      </c>
      <c r="B40">
        <f>H4</f>
        <v>0</v>
      </c>
      <c r="C40">
        <f>H5</f>
        <v>0</v>
      </c>
      <c r="D40">
        <f>H6</f>
        <v>0</v>
      </c>
      <c r="E40">
        <f>H7</f>
        <v>0</v>
      </c>
      <c r="F40" s="28">
        <f>H8</f>
        <v>0</v>
      </c>
      <c r="G40">
        <f>H9</f>
        <v>0</v>
      </c>
      <c r="H40">
        <f>H10</f>
        <v>0</v>
      </c>
      <c r="I40">
        <f>H11</f>
        <v>0</v>
      </c>
      <c r="J40">
        <f>H12</f>
        <v>0</v>
      </c>
      <c r="K40" s="28">
        <f>H13</f>
        <v>0</v>
      </c>
      <c r="L40">
        <f>H14</f>
        <v>0</v>
      </c>
      <c r="M40" s="28">
        <f>H15</f>
        <v>0</v>
      </c>
      <c r="N40">
        <f>H16</f>
        <v>0</v>
      </c>
      <c r="O40" s="28">
        <f>H17</f>
        <v>0</v>
      </c>
      <c r="P40" s="28">
        <f t="shared" si="14"/>
        <v>0</v>
      </c>
      <c r="Q40" s="28">
        <f t="shared" si="9"/>
        <v>0</v>
      </c>
      <c r="R40" s="28">
        <f t="shared" si="10"/>
        <v>0</v>
      </c>
      <c r="S40" s="28">
        <f t="shared" si="11"/>
        <v>0</v>
      </c>
      <c r="T40" s="28">
        <f t="shared" si="15"/>
        <v>0</v>
      </c>
      <c r="U40">
        <f t="shared" si="16"/>
        <v>0</v>
      </c>
      <c r="V40" s="260" t="e">
        <f>H21</f>
        <v>#DIV/0!</v>
      </c>
      <c r="W40" s="260" t="e">
        <f>H22</f>
        <v>#DIV/0!</v>
      </c>
      <c r="X40">
        <f>H23</f>
        <v>0</v>
      </c>
      <c r="Y40">
        <f>H24</f>
        <v>0</v>
      </c>
      <c r="Z40" s="260" t="e">
        <f>H25</f>
        <v>#DIV/0!</v>
      </c>
      <c r="AA40" s="260" t="e">
        <f>H27</f>
        <v>#DIV/0!</v>
      </c>
      <c r="AB40" t="e">
        <f>H28</f>
        <v>#DIV/0!</v>
      </c>
      <c r="AC40">
        <f>H29</f>
        <v>0</v>
      </c>
      <c r="AD40">
        <f>H30</f>
        <v>0</v>
      </c>
      <c r="AH40" t="s">
        <v>989</v>
      </c>
      <c r="AI40">
        <f>IFERROR(VLOOKUP(AH34,$A$34:$AD$72,20,FALSE),"0")+IFERROR(VLOOKUP(AI34,$A$34:$AD$72,20,FALSE),"0")</f>
        <v>0</v>
      </c>
      <c r="AJ40" t="s">
        <v>135</v>
      </c>
      <c r="AK40">
        <f>IFERROR(AI40*'EFid TK'!$B$176/AI56,0)</f>
        <v>0</v>
      </c>
      <c r="AM40" t="s">
        <v>989</v>
      </c>
      <c r="AN40">
        <f>IFERROR(VLOOKUP(AM34,$A$34:$AD$72,20,FALSE),"0")+IFERROR(VLOOKUP(AN34,$A$34:$AD$72,20,FALSE),"0")</f>
        <v>0</v>
      </c>
      <c r="AO40" t="s">
        <v>135</v>
      </c>
      <c r="AP40">
        <f>IFERROR(AN40*'EFid TK'!$B$177/AN56,0)</f>
        <v>0</v>
      </c>
      <c r="AR40" t="s">
        <v>989</v>
      </c>
      <c r="AS40">
        <f>IFERROR(VLOOKUP(AR34,$A$34:$AD$72,20,FALSE),"0")+IFERROR(VLOOKUP(AS34,$A$34:$AD$72,20,FALSE),"0")</f>
        <v>0</v>
      </c>
      <c r="AT40" t="s">
        <v>135</v>
      </c>
      <c r="AU40">
        <f>IFERROR(AS40*'EFid TK'!$B$179/AS56,0)</f>
        <v>0</v>
      </c>
      <c r="AW40" t="s">
        <v>989</v>
      </c>
      <c r="AX40">
        <f>IFERROR(VLOOKUP(AW34,$A$34:$AD$72,20,FALSE),"0")+IFERROR(VLOOKUP(AX34,$A$34:$AD$72,20,FALSE),"0")</f>
        <v>0</v>
      </c>
      <c r="AY40" t="s">
        <v>135</v>
      </c>
      <c r="AZ40">
        <f>IFERROR(AX40*'EFid TK'!$B$180/AX56,0)</f>
        <v>0</v>
      </c>
      <c r="BB40" t="s">
        <v>989</v>
      </c>
      <c r="BC40">
        <f>IFERROR(VLOOKUP(BB34,$A$34:$AD$72,20,FALSE),"0")+IFERROR(VLOOKUP(BC34,$A$34:$AD$72,20,FALSE),"0")</f>
        <v>0</v>
      </c>
      <c r="BD40" t="s">
        <v>135</v>
      </c>
      <c r="BE40">
        <f>IFERROR(BC40*'EFid TK'!$B$178/BC56,0)</f>
        <v>0</v>
      </c>
      <c r="BG40" t="s">
        <v>989</v>
      </c>
      <c r="BH40">
        <f>IFERROR(VLOOKUP(BG34,$A$34:$AD$72,20,FALSE),"0")+IFERROR(VLOOKUP(BH34,$A$34:$AD$72,20,FALSE),"0")</f>
        <v>0</v>
      </c>
      <c r="BI40" t="s">
        <v>135</v>
      </c>
      <c r="BJ40">
        <f>IFERROR(BH40*'EFid TK'!$B$181/BH56,0)</f>
        <v>0</v>
      </c>
      <c r="BL40" t="s">
        <v>989</v>
      </c>
      <c r="BM40">
        <f>IFERROR(VLOOKUP(BL34,$A$34:$AD$72,20,FALSE),"0")+IFERROR(VLOOKUP(BM34,$A$34:$AD$72,20,FALSE),"0")</f>
        <v>0</v>
      </c>
      <c r="BN40" t="s">
        <v>135</v>
      </c>
      <c r="BO40">
        <f>IFERROR(BM40*'EFid TK'!$B$182/BM56,0)</f>
        <v>0</v>
      </c>
      <c r="BQ40" t="s">
        <v>989</v>
      </c>
      <c r="BR40">
        <f>IFERROR(VLOOKUP(BQ34,$A$34:$AD$72,20,FALSE),"0")+IFERROR(VLOOKUP(BR34,$A$34:$AD$72,20,FALSE),"0")</f>
        <v>0</v>
      </c>
      <c r="BS40" t="s">
        <v>135</v>
      </c>
      <c r="BT40">
        <f>IFERROR(BR40*'EFid TK'!$B$183/BR56,0)</f>
        <v>0</v>
      </c>
      <c r="BV40" t="s">
        <v>989</v>
      </c>
      <c r="BW40">
        <f>IFERROR(VLOOKUP(BV34,$A$34:$AD$72,20,FALSE),"0")+IFERROR(VLOOKUP(BW34,$A$34:$AD$72,20,FALSE),"0")</f>
        <v>0</v>
      </c>
      <c r="BX40" t="s">
        <v>135</v>
      </c>
      <c r="BY40">
        <f>IFERROR(BW40*'EFid TK'!$B$184/BW56,0)</f>
        <v>0</v>
      </c>
      <c r="CA40" t="s">
        <v>989</v>
      </c>
      <c r="CB40">
        <f>IFERROR(VLOOKUP(CA34,$A$34:$AD$72,20,FALSE),"0")+IFERROR(VLOOKUP(CB34,$A$34:$AD$72,20,FALSE),"0")</f>
        <v>0</v>
      </c>
      <c r="CC40" t="s">
        <v>135</v>
      </c>
      <c r="CD40">
        <f>IFERROR(CB40*'EFid TK'!$B$185/CB56,0)</f>
        <v>0</v>
      </c>
      <c r="CF40" t="s">
        <v>989</v>
      </c>
      <c r="CG40">
        <f>IFERROR(VLOOKUP(CF34,$A$34:$AD$72,20,FALSE),"0")+IFERROR(VLOOKUP(CG34,$A$34:$AD$72,20,FALSE),"0")</f>
        <v>0</v>
      </c>
      <c r="CH40" t="s">
        <v>135</v>
      </c>
      <c r="CI40">
        <f>IFERROR(CG40*'EFid TK'!$B$186/CG56,0)</f>
        <v>0</v>
      </c>
      <c r="CK40" t="s">
        <v>989</v>
      </c>
      <c r="CL40">
        <f>IFERROR(VLOOKUP(CK34,$A$34:$AD$72,20,FALSE),"0")+IFERROR(VLOOKUP(CL34,$A$34:$AD$72,20,FALSE),"0")</f>
        <v>0</v>
      </c>
      <c r="CM40" t="s">
        <v>135</v>
      </c>
      <c r="CN40">
        <f>IFERROR(CL40*'EFid TK'!$B$187/CL56,0)</f>
        <v>0</v>
      </c>
      <c r="CP40" t="s">
        <v>989</v>
      </c>
      <c r="CQ40">
        <f>IFERROR(VLOOKUP(CP34,$A$34:$AD$72,20,FALSE),"0")+IFERROR(VLOOKUP(CQ34,$A$34:$AD$72,20,FALSE),"0")</f>
        <v>0</v>
      </c>
      <c r="CR40" t="s">
        <v>135</v>
      </c>
      <c r="CS40">
        <f>IFERROR(CQ40*'EFid TK'!$B$188/CQ56,0)</f>
        <v>0</v>
      </c>
      <c r="CU40" t="s">
        <v>989</v>
      </c>
      <c r="CV40">
        <f>IFERROR(VLOOKUP(CU34,$A$34:$AD$72,20,FALSE),"0")+IFERROR(VLOOKUP(CV34,$A$34:$AD$72,20,FALSE),"0")</f>
        <v>0</v>
      </c>
      <c r="CW40" t="s">
        <v>135</v>
      </c>
      <c r="CX40">
        <f>IFERROR(CV40*AVERAGE('EFid TK'!C157,'EFid TK'!C162)/CV56,0)</f>
        <v>0</v>
      </c>
      <c r="CZ40" t="s">
        <v>989</v>
      </c>
      <c r="DA40">
        <f>IFERROR(VLOOKUP(CZ34,$A$34:$AD$72,20,FALSE),"0")+IFERROR(VLOOKUP(DA34,$A$34:$AD$72,20,FALSE),"0")</f>
        <v>0</v>
      </c>
      <c r="DB40" t="s">
        <v>135</v>
      </c>
      <c r="DC40">
        <f>IFERROR(DA40*'EFid TK'!C157/DA56,0)</f>
        <v>0</v>
      </c>
      <c r="DE40" t="s">
        <v>989</v>
      </c>
      <c r="DF40">
        <f>IFERROR(VLOOKUP(DE34,$A$34:$AD$72,20,FALSE),"0")+IFERROR(VLOOKUP(DF34,$A$34:$AD$72,20,FALSE),"0")</f>
        <v>0</v>
      </c>
      <c r="DG40" t="s">
        <v>135</v>
      </c>
      <c r="DH40">
        <f>IFERROR(DF40*'EFid TK'!C157/DF56,0)</f>
        <v>0</v>
      </c>
      <c r="DJ40" t="s">
        <v>989</v>
      </c>
      <c r="DK40">
        <f>IFERROR(VLOOKUP(DJ34,$A$34:$AD$72,20,FALSE),"0")+IFERROR(VLOOKUP(DK34,$A$34:$AD$72,20,FALSE),"0")</f>
        <v>0</v>
      </c>
      <c r="DL40" t="s">
        <v>135</v>
      </c>
      <c r="DM40">
        <f>IFERROR(DK40*'EFid TK'!C157/DK56,0)</f>
        <v>0</v>
      </c>
      <c r="DO40" t="s">
        <v>989</v>
      </c>
      <c r="DP40">
        <f>IFERROR(VLOOKUP(DO34,$A$34:$AD$72,20,FALSE),"0")+IFERROR(VLOOKUP(DP34,$A$34:$AD$72,20,FALSE),"0")</f>
        <v>0</v>
      </c>
      <c r="DQ40" t="s">
        <v>135</v>
      </c>
      <c r="DR40">
        <f>IFERROR(DP40*'EFid TK'!C157/DP56,0)</f>
        <v>0</v>
      </c>
      <c r="DT40" t="s">
        <v>989</v>
      </c>
      <c r="DU40">
        <f>IFERROR(VLOOKUP(DT34,$A$34:$AD$72,20,FALSE),"0")+IFERROR(VLOOKUP(DU34,$A$34:$AD$72,20,FALSE),"0")</f>
        <v>0</v>
      </c>
      <c r="DV40" t="s">
        <v>135</v>
      </c>
      <c r="DW40">
        <f>IFERROR(DU40*'EFid TK'!C153/DU56,0)</f>
        <v>0</v>
      </c>
      <c r="DY40" t="s">
        <v>989</v>
      </c>
      <c r="DZ40">
        <f>IFERROR(VLOOKUP(DY34,$A$34:$AD$72,20,FALSE),"0")+IFERROR(VLOOKUP(DZ34,$A$34:$AD$72,20,FALSE),"0")</f>
        <v>0</v>
      </c>
      <c r="EA40" t="s">
        <v>135</v>
      </c>
      <c r="EB40">
        <f>IFERROR(DZ40*'EFid TK'!C157/DZ56,0)</f>
        <v>0</v>
      </c>
      <c r="ED40" t="s">
        <v>989</v>
      </c>
      <c r="EE40">
        <f>IFERROR(VLOOKUP(ED34,$A$34:$AD$72,20,FALSE),"0")+IFERROR(VLOOKUP(EE34,$A$34:$AD$72,20,FALSE),"0")</f>
        <v>0</v>
      </c>
      <c r="EF40" t="s">
        <v>135</v>
      </c>
      <c r="EG40">
        <f>IFERROR(EE40*'EFid TK'!C157/EE56,0)</f>
        <v>0</v>
      </c>
      <c r="EI40" t="s">
        <v>989</v>
      </c>
      <c r="EJ40">
        <f>IFERROR(VLOOKUP(EI34,$A$34:$AD$72,20,FALSE),"0")+IFERROR(VLOOKUP(EJ34,$A$34:$AD$72,20,FALSE),"0")</f>
        <v>0</v>
      </c>
      <c r="EK40" t="s">
        <v>135</v>
      </c>
      <c r="EL40">
        <f>IFERROR(EJ40*'EFid TK'!C153/EJ56,0)</f>
        <v>0</v>
      </c>
      <c r="EN40" t="s">
        <v>989</v>
      </c>
      <c r="EO40">
        <f>IFERROR(VLOOKUP(EN34,$A$34:$AD$72,20,FALSE),"0")+IFERROR(VLOOKUP(EO34,$A$34:$AD$72,20,FALSE),"0")</f>
        <v>0</v>
      </c>
      <c r="EP40" t="s">
        <v>135</v>
      </c>
      <c r="EQ40">
        <f>IFERROR(EO40*'EFid TK'!C168/EO56,0)</f>
        <v>0</v>
      </c>
      <c r="ES40" t="s">
        <v>989</v>
      </c>
      <c r="ET40">
        <f>IFERROR(VLOOKUP(ES34,$A$34:$AD$72,20,FALSE),"0")+IFERROR(VLOOKUP(ET34,$A$34:$AD$72,20,FALSE),"0")</f>
        <v>0</v>
      </c>
      <c r="EU40" t="s">
        <v>135</v>
      </c>
      <c r="EV40">
        <f>IFERROR(ET40*'EFid TK'!C161/ET56,0)</f>
        <v>0</v>
      </c>
      <c r="EX40" t="s">
        <v>989</v>
      </c>
      <c r="EY40">
        <f>IFERROR(VLOOKUP(EX34,$A$34:$AD$72,20,FALSE),"0")+IFERROR(VLOOKUP(EY34,$A$34:$AD$72,20,FALSE),"0")</f>
        <v>0</v>
      </c>
      <c r="EZ40" t="s">
        <v>135</v>
      </c>
      <c r="FA40">
        <f>IFERROR(EY40*'EFid TK'!C162/EY56,0)</f>
        <v>0</v>
      </c>
      <c r="FC40" t="s">
        <v>989</v>
      </c>
      <c r="FD40">
        <f>IFERROR(VLOOKUP(FC34,$A$34:$AD$72,20,FALSE),"0")+IFERROR(VLOOKUP(FD34,$A$34:$AD$72,20,FALSE),"0")</f>
        <v>0</v>
      </c>
      <c r="FE40" t="s">
        <v>135</v>
      </c>
      <c r="FF40">
        <f>IFERROR(FD40*'EFid TK'!C162/FD56,0)</f>
        <v>0</v>
      </c>
      <c r="FH40" t="s">
        <v>989</v>
      </c>
      <c r="FI40">
        <f>IFERROR(VLOOKUP(FH34,$A$34:$AD$72,20,FALSE),"0")+IFERROR(VLOOKUP(FI34,$A$34:$AD$72,20,FALSE),"0")</f>
        <v>0</v>
      </c>
      <c r="FJ40" t="s">
        <v>135</v>
      </c>
      <c r="FK40">
        <f>IFERROR(FI40*'EFid TK'!C162/FI56,0)</f>
        <v>0</v>
      </c>
      <c r="FM40" t="s">
        <v>989</v>
      </c>
      <c r="FN40">
        <f>IFERROR(VLOOKUP(FM34,$A$34:$AD$72,20,FALSE),"0")+IFERROR(VLOOKUP(FN34,$A$34:$AD$72,20,FALSE),"0")</f>
        <v>0</v>
      </c>
      <c r="FO40" t="s">
        <v>135</v>
      </c>
      <c r="FP40">
        <f>IFERROR(FN40*'EFid TK'!C162/FN56,0)</f>
        <v>0</v>
      </c>
      <c r="FR40" t="s">
        <v>989</v>
      </c>
      <c r="FS40">
        <f>IFERROR(VLOOKUP(FR34,$A$34:$AD$72,20,FALSE),"0")+IFERROR(VLOOKUP(FS34,$A$34:$AD$72,20,FALSE),"0")</f>
        <v>0</v>
      </c>
      <c r="FT40" t="s">
        <v>135</v>
      </c>
      <c r="FU40">
        <f>IFERROR(FS40*'EFid TK'!C162/FS56,0)</f>
        <v>0</v>
      </c>
      <c r="FW40" t="s">
        <v>989</v>
      </c>
      <c r="FX40">
        <f>IFERROR(VLOOKUP(FW34,$A$34:$AD$72,20,FALSE),"0")+IFERROR(VLOOKUP(FX34,$A$34:$AD$72,20,FALSE),"0")</f>
        <v>0</v>
      </c>
      <c r="FY40" t="s">
        <v>135</v>
      </c>
      <c r="FZ40">
        <f>IFERROR(FX40*'EFid TK'!C162/FX56,0)</f>
        <v>0</v>
      </c>
    </row>
    <row r="41" spans="1:182">
      <c r="A41">
        <f>I3</f>
        <v>0</v>
      </c>
      <c r="B41">
        <f>I4</f>
        <v>0</v>
      </c>
      <c r="C41">
        <f>I5</f>
        <v>0</v>
      </c>
      <c r="D41">
        <f>I6</f>
        <v>0</v>
      </c>
      <c r="E41">
        <f>I7</f>
        <v>0</v>
      </c>
      <c r="F41" s="28">
        <f>I8</f>
        <v>0</v>
      </c>
      <c r="G41">
        <f>I9</f>
        <v>0</v>
      </c>
      <c r="H41">
        <f>I10</f>
        <v>0</v>
      </c>
      <c r="I41">
        <f>I11</f>
        <v>0</v>
      </c>
      <c r="J41">
        <f>I12</f>
        <v>0</v>
      </c>
      <c r="K41" s="28">
        <f>I13</f>
        <v>0</v>
      </c>
      <c r="L41">
        <f>I14</f>
        <v>0</v>
      </c>
      <c r="M41" s="28">
        <f>I15</f>
        <v>0</v>
      </c>
      <c r="N41">
        <f>I16</f>
        <v>0</v>
      </c>
      <c r="O41" s="28">
        <f>I17</f>
        <v>0</v>
      </c>
      <c r="P41" s="28">
        <f t="shared" si="14"/>
        <v>0</v>
      </c>
      <c r="Q41" s="28">
        <f t="shared" si="9"/>
        <v>0</v>
      </c>
      <c r="R41" s="28">
        <f t="shared" si="10"/>
        <v>0</v>
      </c>
      <c r="S41" s="28">
        <f t="shared" si="11"/>
        <v>0</v>
      </c>
      <c r="T41" s="28">
        <f t="shared" si="15"/>
        <v>0</v>
      </c>
      <c r="U41">
        <f t="shared" si="16"/>
        <v>0</v>
      </c>
      <c r="V41" s="260" t="e">
        <f>I21</f>
        <v>#DIV/0!</v>
      </c>
      <c r="W41" s="260" t="e">
        <f>I22</f>
        <v>#DIV/0!</v>
      </c>
      <c r="X41">
        <f>I23</f>
        <v>0</v>
      </c>
      <c r="Y41">
        <f>I24</f>
        <v>0</v>
      </c>
      <c r="Z41" s="260" t="e">
        <f>I25</f>
        <v>#DIV/0!</v>
      </c>
      <c r="AA41" s="260" t="e">
        <f>I27</f>
        <v>#DIV/0!</v>
      </c>
      <c r="AB41" t="e">
        <f>I28</f>
        <v>#DIV/0!</v>
      </c>
      <c r="AC41">
        <f>I29</f>
        <v>0</v>
      </c>
      <c r="AD41">
        <f>I30</f>
        <v>0</v>
      </c>
      <c r="AH41" t="s">
        <v>990</v>
      </c>
      <c r="AI41">
        <f>IFERROR(VLOOKUP(AH34,$A$34:$AD$72,6,FALSE),"0")+IFERROR(VLOOKUP(AI34,$A$34:$AD$72,6,FALSE),"0")</f>
        <v>0</v>
      </c>
      <c r="AJ41" t="s">
        <v>436</v>
      </c>
      <c r="AK41" t="str">
        <f>IFERROR((AI41*AVERAGE(Ettev_kalk!$BB$22:$BB$34)/AI56),"0")</f>
        <v>0</v>
      </c>
      <c r="AM41" t="s">
        <v>990</v>
      </c>
      <c r="AN41">
        <f>IFERROR(VLOOKUP(AM34,$A$34:$AD$72,6,FALSE),"0")+IFERROR(VLOOKUP(AN34,$A$34:$AD$72,6,FALSE),"0")</f>
        <v>0</v>
      </c>
      <c r="AO41" t="s">
        <v>436</v>
      </c>
      <c r="AP41" t="str">
        <f>IFERROR((AN41*AVERAGE(Ettev_kalk!$BB$22:$BB$34)/AN56),"0")</f>
        <v>0</v>
      </c>
      <c r="AR41" t="s">
        <v>990</v>
      </c>
      <c r="AS41">
        <f>IFERROR(VLOOKUP(AR34,$A$34:$AD$72,6,FALSE),"0")+IFERROR(VLOOKUP(AS34,$A$34:$AD$72,6,FALSE),"0")</f>
        <v>0</v>
      </c>
      <c r="AT41" t="s">
        <v>436</v>
      </c>
      <c r="AU41" t="str">
        <f>IFERROR((AS41*AVERAGE(Ettev_kalk!$BB$22:$BB$34)/AS56),"0")</f>
        <v>0</v>
      </c>
      <c r="AW41" t="s">
        <v>990</v>
      </c>
      <c r="AX41">
        <f>IFERROR(VLOOKUP(AW34,$A$34:$AD$72,6,FALSE),"0")+IFERROR(VLOOKUP(AX34,$A$34:$AD$72,6,FALSE),"0")</f>
        <v>0</v>
      </c>
      <c r="AY41" t="s">
        <v>436</v>
      </c>
      <c r="AZ41" t="str">
        <f>IFERROR((AX41*AVERAGE(Ettev_kalk!$BB$22:$BB$34)/AX56),"0")</f>
        <v>0</v>
      </c>
      <c r="BB41" t="s">
        <v>990</v>
      </c>
      <c r="BC41">
        <f>IFERROR(VLOOKUP(BB34,$A$34:$AD$72,6,FALSE),"0")+IFERROR(VLOOKUP(BC34,$A$34:$AD$72,6,FALSE),"0")</f>
        <v>0</v>
      </c>
      <c r="BD41" t="s">
        <v>436</v>
      </c>
      <c r="BE41" t="str">
        <f>IFERROR((BC41*AVERAGE(Ettev_kalk!$BB$22:$BB$34)/BC56),"0")</f>
        <v>0</v>
      </c>
      <c r="BG41" t="s">
        <v>990</v>
      </c>
      <c r="BH41">
        <f>IFERROR(VLOOKUP(BG34,$A$34:$AD$72,6,FALSE),"0")+IFERROR(VLOOKUP(BH34,$A$34:$AD$72,6,FALSE),"0")</f>
        <v>0</v>
      </c>
      <c r="BI41" t="s">
        <v>436</v>
      </c>
      <c r="BJ41" t="str">
        <f>IFERROR((BH41*AVERAGE(Ettev_kalk!$BB$22:$BB$34)/BH56),"0")</f>
        <v>0</v>
      </c>
      <c r="BL41" t="s">
        <v>990</v>
      </c>
      <c r="BM41">
        <f>IFERROR(VLOOKUP(BL34,$A$34:$AD$72,6,FALSE),"0")+IFERROR(VLOOKUP(BM34,$A$34:$AD$72,6,FALSE),"0")</f>
        <v>0</v>
      </c>
      <c r="BN41" t="s">
        <v>436</v>
      </c>
      <c r="BO41" t="str">
        <f>IFERROR((BM41*AVERAGE(Ettev_kalk!$BB$22:$BB$34)/BM56),"0")</f>
        <v>0</v>
      </c>
      <c r="BQ41" t="s">
        <v>990</v>
      </c>
      <c r="BR41">
        <f>IFERROR(VLOOKUP(BQ34,$A$34:$AD$72,6,FALSE),"0")+IFERROR(VLOOKUP(BR34,$A$34:$AD$72,6,FALSE),"0")</f>
        <v>0</v>
      </c>
      <c r="BS41" t="s">
        <v>436</v>
      </c>
      <c r="BT41" t="str">
        <f>IFERROR((BR41*AVERAGE(Ettev_kalk!$BB$22:$BB$34)/BR56),"0")</f>
        <v>0</v>
      </c>
      <c r="BV41" t="s">
        <v>990</v>
      </c>
      <c r="BW41">
        <f>IFERROR(VLOOKUP(BV34,$A$34:$AD$72,6,FALSE),"0")+IFERROR(VLOOKUP(BW34,$A$34:$AD$72,6,FALSE),"0")</f>
        <v>0</v>
      </c>
      <c r="BX41" t="s">
        <v>436</v>
      </c>
      <c r="BY41" t="str">
        <f>IFERROR((BW41*AVERAGE(Ettev_kalk!$BB$22:$BB$34)/BW56),"0")</f>
        <v>0</v>
      </c>
      <c r="CA41" t="s">
        <v>990</v>
      </c>
      <c r="CB41">
        <f>IFERROR(VLOOKUP(CA34,$A$34:$AD$72,6,FALSE),"0")+IFERROR(VLOOKUP(CB34,$A$34:$AD$72,6,FALSE),"0")</f>
        <v>0</v>
      </c>
      <c r="CC41" t="s">
        <v>436</v>
      </c>
      <c r="CD41" t="str">
        <f>IFERROR((CB41*AVERAGE(Ettev_kalk!$BB$22:$BB$34)/CB56),"0")</f>
        <v>0</v>
      </c>
      <c r="CF41" t="s">
        <v>990</v>
      </c>
      <c r="CG41">
        <f>IFERROR(VLOOKUP(CF34,$A$34:$AD$72,6,FALSE),"0")+IFERROR(VLOOKUP(CG34,$A$34:$AD$72,6,FALSE),"0")</f>
        <v>0</v>
      </c>
      <c r="CH41" t="s">
        <v>436</v>
      </c>
      <c r="CI41" t="str">
        <f>IFERROR((CG41*AVERAGE(Ettev_kalk!$BB$22:$BB$34)/CG56),"0")</f>
        <v>0</v>
      </c>
      <c r="CK41" t="s">
        <v>990</v>
      </c>
      <c r="CL41">
        <f>IFERROR(VLOOKUP(CK34,$A$34:$AD$72,6,FALSE),"0")+IFERROR(VLOOKUP(CL34,$A$34:$AD$72,6,FALSE),"0")</f>
        <v>0</v>
      </c>
      <c r="CM41" t="s">
        <v>436</v>
      </c>
      <c r="CN41" t="str">
        <f>IFERROR((CL41*AVERAGE(Ettev_kalk!$BB$22:$BB$34)/CL56),"0")</f>
        <v>0</v>
      </c>
      <c r="CP41" t="s">
        <v>990</v>
      </c>
      <c r="CQ41">
        <f>IFERROR(VLOOKUP(CP34,$A$34:$AD$72,6,FALSE),"0")+IFERROR(VLOOKUP(CQ34,$A$34:$AD$72,6,FALSE),"0")</f>
        <v>0</v>
      </c>
      <c r="CR41" t="s">
        <v>436</v>
      </c>
      <c r="CS41" t="str">
        <f>IFERROR((CQ41*AVERAGE(Ettev_kalk!$BB$22:$BB$34)/CQ56),"0")</f>
        <v>0</v>
      </c>
      <c r="CU41" t="s">
        <v>990</v>
      </c>
      <c r="CV41">
        <f>IFERROR(VLOOKUP(CU34,$A$34:$AD$72,6,FALSE),"0")+IFERROR(VLOOKUP(CV34,$A$34:$AD$72,6,FALSE),"0")</f>
        <v>0</v>
      </c>
      <c r="CW41" t="s">
        <v>436</v>
      </c>
      <c r="CX41" t="str">
        <f>IFERROR((CV41*AVERAGE(Ettev_kalk!$BB$22:$BB$34)/CV56),"0")</f>
        <v>0</v>
      </c>
      <c r="CZ41" t="s">
        <v>990</v>
      </c>
      <c r="DA41">
        <f>IFERROR(VLOOKUP(CZ34,$A$34:$AD$72,6,FALSE),"0")+IFERROR(VLOOKUP(DA34,$A$34:$AD$72,6,FALSE),"0")</f>
        <v>0</v>
      </c>
      <c r="DB41" t="s">
        <v>436</v>
      </c>
      <c r="DC41" t="str">
        <f>IFERROR((DA41*AVERAGE(Ettev_kalk!$BB$22:$BB$34)/DA56),"0")</f>
        <v>0</v>
      </c>
      <c r="DE41" t="s">
        <v>990</v>
      </c>
      <c r="DF41">
        <f>IFERROR(VLOOKUP(DE34,$A$34:$AD$72,6,FALSE),"0")+IFERROR(VLOOKUP(DF34,$A$34:$AD$72,6,FALSE),"0")</f>
        <v>0</v>
      </c>
      <c r="DG41" t="s">
        <v>436</v>
      </c>
      <c r="DH41" t="str">
        <f>IFERROR((DF41*AVERAGE(Ettev_kalk!$BB$22:$BB$34)/DF56),"0")</f>
        <v>0</v>
      </c>
      <c r="DJ41" t="s">
        <v>990</v>
      </c>
      <c r="DK41">
        <f>IFERROR(VLOOKUP(DJ34,$A$34:$AD$72,6,FALSE),"0")+IFERROR(VLOOKUP(DK34,$A$34:$AD$72,6,FALSE),"0")</f>
        <v>0</v>
      </c>
      <c r="DL41" t="s">
        <v>436</v>
      </c>
      <c r="DM41" t="str">
        <f>IFERROR((DK41*AVERAGE(Ettev_kalk!$BB$22:$BB$34)/DK56),"0")</f>
        <v>0</v>
      </c>
      <c r="DO41" t="s">
        <v>990</v>
      </c>
      <c r="DP41">
        <f>IFERROR(VLOOKUP(DO34,$A$34:$AD$72,6,FALSE),"0")+IFERROR(VLOOKUP(DP34,$A$34:$AD$72,6,FALSE),"0")</f>
        <v>0</v>
      </c>
      <c r="DQ41" t="s">
        <v>436</v>
      </c>
      <c r="DR41" t="str">
        <f>IFERROR((DP41*AVERAGE(Ettev_kalk!$BB$22:$BB$34)/DP56),"0")</f>
        <v>0</v>
      </c>
      <c r="DT41" t="s">
        <v>990</v>
      </c>
      <c r="DU41">
        <f>IFERROR(VLOOKUP(DT34,$A$34:$AD$72,6,FALSE),"0")+IFERROR(VLOOKUP(DU34,$A$34:$AD$72,6,FALSE),"0")</f>
        <v>0</v>
      </c>
      <c r="DV41" t="s">
        <v>436</v>
      </c>
      <c r="DW41" t="str">
        <f>IFERROR((DU41*AVERAGE(Ettev_kalk!$BB$22:$BB$34)/DU56),"0")</f>
        <v>0</v>
      </c>
      <c r="DY41" t="s">
        <v>990</v>
      </c>
      <c r="DZ41">
        <f>IFERROR(VLOOKUP(DY34,$A$34:$AD$72,6,FALSE),"0")+IFERROR(VLOOKUP(DZ34,$A$34:$AD$72,6,FALSE),"0")</f>
        <v>0</v>
      </c>
      <c r="EA41" t="s">
        <v>436</v>
      </c>
      <c r="EB41" t="str">
        <f>IFERROR((DZ41*AVERAGE(Ettev_kalk!$BB$22:$BB$34)/DZ56),"0")</f>
        <v>0</v>
      </c>
      <c r="ED41" t="s">
        <v>990</v>
      </c>
      <c r="EE41">
        <f>IFERROR(VLOOKUP(ED34,$A$34:$AD$72,6,FALSE),"0")+IFERROR(VLOOKUP(EE34,$A$34:$AD$72,6,FALSE),"0")</f>
        <v>0</v>
      </c>
      <c r="EF41" t="s">
        <v>436</v>
      </c>
      <c r="EG41" t="str">
        <f>IFERROR((EE41*AVERAGE(Ettev_kalk!$BB$22:$BB$34)/EE56),"0")</f>
        <v>0</v>
      </c>
      <c r="EI41" t="s">
        <v>990</v>
      </c>
      <c r="EJ41">
        <f>IFERROR(VLOOKUP(EI34,$A$34:$AD$72,6,FALSE),"0")+IFERROR(VLOOKUP(EJ34,$A$34:$AD$72,6,FALSE),"0")</f>
        <v>0</v>
      </c>
      <c r="EK41" t="s">
        <v>436</v>
      </c>
      <c r="EL41" t="str">
        <f>IFERROR((EJ41*AVERAGE(Ettev_kalk!$BB$22:$BB$34)/EJ56),"0")</f>
        <v>0</v>
      </c>
      <c r="EN41" t="s">
        <v>990</v>
      </c>
      <c r="EO41">
        <f>IFERROR(VLOOKUP(EN34,$A$34:$AD$72,6,FALSE),"0")+IFERROR(VLOOKUP(EO34,$A$34:$AD$72,6,FALSE),"0")</f>
        <v>0</v>
      </c>
      <c r="EP41" t="s">
        <v>436</v>
      </c>
      <c r="EQ41" t="str">
        <f>IFERROR((EO41*AVERAGE(Ettev_kalk!$BB$22:$BB$34)/EO56),"0")</f>
        <v>0</v>
      </c>
      <c r="ES41" t="s">
        <v>990</v>
      </c>
      <c r="ET41">
        <f>IFERROR(VLOOKUP(ES34,$A$34:$AD$72,6,FALSE),"0")+IFERROR(VLOOKUP(ET34,$A$34:$AD$72,6,FALSE),"0")</f>
        <v>0</v>
      </c>
      <c r="EU41" t="s">
        <v>436</v>
      </c>
      <c r="EV41" t="str">
        <f>IFERROR((ET41*AVERAGE(Ettev_kalk!$BB$22:$BB$34)/ET56),"0")</f>
        <v>0</v>
      </c>
      <c r="EX41" t="s">
        <v>990</v>
      </c>
      <c r="EY41">
        <f>IFERROR(VLOOKUP(EX34,$A$34:$AD$72,6,FALSE),"0")+IFERROR(VLOOKUP(EY34,$A$34:$AD$72,6,FALSE),"0")</f>
        <v>0</v>
      </c>
      <c r="EZ41" t="s">
        <v>436</v>
      </c>
      <c r="FA41" t="str">
        <f>IFERROR((EY41*AVERAGE(Ettev_kalk!$BB$22:$BB$34)/EY56),"0")</f>
        <v>0</v>
      </c>
      <c r="FC41" t="s">
        <v>990</v>
      </c>
      <c r="FD41">
        <f>IFERROR(VLOOKUP(FC34,$A$34:$AD$72,6,FALSE),"0")+IFERROR(VLOOKUP(FD34,$A$34:$AD$72,6,FALSE),"0")</f>
        <v>0</v>
      </c>
      <c r="FE41" t="s">
        <v>436</v>
      </c>
      <c r="FF41" t="str">
        <f>IFERROR((FD41*AVERAGE(Ettev_kalk!$BB$22:$BB$34)/FD56),"0")</f>
        <v>0</v>
      </c>
      <c r="FH41" t="s">
        <v>990</v>
      </c>
      <c r="FI41">
        <f>IFERROR(VLOOKUP(FH34,$A$34:$AD$72,6,FALSE),"0")+IFERROR(VLOOKUP(FI34,$A$34:$AD$72,6,FALSE),"0")</f>
        <v>0</v>
      </c>
      <c r="FJ41" t="s">
        <v>436</v>
      </c>
      <c r="FK41" t="str">
        <f>IFERROR((FI41*AVERAGE(Ettev_kalk!$BB$22:$BB$34)/FI56),"0")</f>
        <v>0</v>
      </c>
      <c r="FM41" t="s">
        <v>990</v>
      </c>
      <c r="FN41">
        <f>IFERROR(VLOOKUP(FM34,$A$34:$AD$72,6,FALSE),"0")+IFERROR(VLOOKUP(FN34,$A$34:$AD$72,6,FALSE),"0")</f>
        <v>0</v>
      </c>
      <c r="FO41" t="s">
        <v>436</v>
      </c>
      <c r="FP41" t="str">
        <f>IFERROR((FN41*AVERAGE(Ettev_kalk!$BB$22:$BB$34)/FN56),"0")</f>
        <v>0</v>
      </c>
      <c r="FR41" t="s">
        <v>990</v>
      </c>
      <c r="FS41">
        <f>IFERROR(VLOOKUP(FR34,$A$34:$AD$72,6,FALSE),"0")+IFERROR(VLOOKUP(FS34,$A$34:$AD$72,6,FALSE),"0")</f>
        <v>0</v>
      </c>
      <c r="FT41" t="s">
        <v>436</v>
      </c>
      <c r="FU41" t="str">
        <f>IFERROR((FS41*AVERAGE(Ettev_kalk!$BB$22:$BB$34)/FS56),"0")</f>
        <v>0</v>
      </c>
      <c r="FW41" t="s">
        <v>990</v>
      </c>
      <c r="FX41">
        <f>IFERROR(VLOOKUP(FW34,$A$34:$AD$72,6,FALSE),"0")+IFERROR(VLOOKUP(FX34,$A$34:$AD$72,6,FALSE),"0")</f>
        <v>0</v>
      </c>
      <c r="FY41" t="s">
        <v>436</v>
      </c>
      <c r="FZ41" t="str">
        <f>IFERROR((FX41*AVERAGE(Ettev_kalk!$BB$22:$BB$34)/FX56),"0")</f>
        <v>0</v>
      </c>
    </row>
    <row r="42" spans="1:182">
      <c r="A42">
        <f>J3</f>
        <v>0</v>
      </c>
      <c r="B42">
        <f>J4</f>
        <v>0</v>
      </c>
      <c r="C42">
        <f>J5</f>
        <v>0</v>
      </c>
      <c r="D42">
        <f>J6</f>
        <v>0</v>
      </c>
      <c r="E42">
        <f>J7</f>
        <v>0</v>
      </c>
      <c r="F42" s="28">
        <f>J8</f>
        <v>0</v>
      </c>
      <c r="G42">
        <f>J9</f>
        <v>0</v>
      </c>
      <c r="H42">
        <f>J10</f>
        <v>0</v>
      </c>
      <c r="I42">
        <f>J11</f>
        <v>0</v>
      </c>
      <c r="J42">
        <f>J12</f>
        <v>0</v>
      </c>
      <c r="K42" s="28">
        <f>J13</f>
        <v>0</v>
      </c>
      <c r="L42">
        <f>J14</f>
        <v>0</v>
      </c>
      <c r="M42" s="28">
        <f>J15</f>
        <v>0</v>
      </c>
      <c r="N42">
        <f>J16</f>
        <v>0</v>
      </c>
      <c r="O42" s="28">
        <f>J17</f>
        <v>0</v>
      </c>
      <c r="P42" s="28">
        <f t="shared" si="14"/>
        <v>0</v>
      </c>
      <c r="Q42" s="28">
        <f t="shared" si="9"/>
        <v>0</v>
      </c>
      <c r="R42" s="28">
        <f t="shared" si="10"/>
        <v>0</v>
      </c>
      <c r="S42" s="28">
        <f t="shared" si="11"/>
        <v>0</v>
      </c>
      <c r="T42" s="28">
        <f t="shared" si="15"/>
        <v>0</v>
      </c>
      <c r="U42">
        <f t="shared" si="16"/>
        <v>0</v>
      </c>
      <c r="V42" s="260" t="e">
        <f>J21</f>
        <v>#DIV/0!</v>
      </c>
      <c r="W42" s="260" t="e">
        <f>J22</f>
        <v>#DIV/0!</v>
      </c>
      <c r="X42">
        <f>J23</f>
        <v>0</v>
      </c>
      <c r="Y42">
        <f>J24</f>
        <v>0</v>
      </c>
      <c r="Z42" s="260" t="e">
        <f>J25</f>
        <v>#DIV/0!</v>
      </c>
      <c r="AA42" s="260" t="e">
        <f>J27</f>
        <v>#DIV/0!</v>
      </c>
      <c r="AB42" t="e">
        <f>J28</f>
        <v>#DIV/0!</v>
      </c>
      <c r="AC42">
        <f>J29</f>
        <v>0</v>
      </c>
      <c r="AD42">
        <f>J30</f>
        <v>0</v>
      </c>
      <c r="AH42" t="s">
        <v>991</v>
      </c>
      <c r="AI42">
        <f>IFERROR(VLOOKUP(AH34,$A$34:$AD$72,29,FALSE),"0")+IFERROR(VLOOKUP(AI34,$A$34:$AD$72,29,FALSE),"0")</f>
        <v>0</v>
      </c>
      <c r="AJ42" t="s">
        <v>992</v>
      </c>
      <c r="AK42">
        <f>IFERROR(AI42*AVERAGE(Ettev_kalk!$BB$36:$BB$39)/AI56,0)</f>
        <v>0</v>
      </c>
      <c r="AM42" t="s">
        <v>991</v>
      </c>
      <c r="AN42">
        <f>IFERROR(VLOOKUP(AM34,$A$34:$AD$72,29,FALSE),"0")+IFERROR(VLOOKUP(AN34,$A$34:$AD$72,29,FALSE),"0")</f>
        <v>0</v>
      </c>
      <c r="AO42" t="s">
        <v>992</v>
      </c>
      <c r="AP42">
        <f>IFERROR(AN42*AVERAGE(Ettev_kalk!$BB$36:$BB$39)/AN56,0)</f>
        <v>0</v>
      </c>
      <c r="AR42" t="s">
        <v>991</v>
      </c>
      <c r="AS42">
        <f>IFERROR(VLOOKUP(AR34,$A$34:$AD$72,29,FALSE),"0")+IFERROR(VLOOKUP(AS34,$A$34:$AD$72,29,FALSE),"0")</f>
        <v>0</v>
      </c>
      <c r="AT42" t="s">
        <v>992</v>
      </c>
      <c r="AU42">
        <f>IFERROR(AS42*AVERAGE(Ettev_kalk!$BB$36:$BB$39)/AS56,0)</f>
        <v>0</v>
      </c>
      <c r="AW42" t="s">
        <v>991</v>
      </c>
      <c r="AX42">
        <f>IFERROR(VLOOKUP(AW34,$A$34:$AD$72,29,FALSE),"0")+IFERROR(VLOOKUP(AX34,$A$34:$AD$72,29,FALSE),"0")</f>
        <v>0</v>
      </c>
      <c r="AY42" t="s">
        <v>992</v>
      </c>
      <c r="AZ42">
        <f>IFERROR(AX42*AVERAGE(Ettev_kalk!$BB$36:$BB$39)/AX56,0)</f>
        <v>0</v>
      </c>
      <c r="BB42" t="s">
        <v>991</v>
      </c>
      <c r="BC42">
        <f>IFERROR(VLOOKUP(BB34,$A$34:$AD$72,29,FALSE),"0")+IFERROR(VLOOKUP(BC34,$A$34:$AD$72,29,FALSE),"0")</f>
        <v>0</v>
      </c>
      <c r="BD42" t="s">
        <v>992</v>
      </c>
      <c r="BE42">
        <f>IFERROR(BC42*AVERAGE(Ettev_kalk!$BB$36:$BB$39)/BC56,0)</f>
        <v>0</v>
      </c>
      <c r="BG42" t="s">
        <v>991</v>
      </c>
      <c r="BH42">
        <f>IFERROR(VLOOKUP(BG34,$A$34:$AD$72,29,FALSE),"0")+IFERROR(VLOOKUP(BH34,$A$34:$AD$72,29,FALSE),"0")</f>
        <v>0</v>
      </c>
      <c r="BI42" t="s">
        <v>992</v>
      </c>
      <c r="BJ42">
        <f>IFERROR(BH42*AVERAGE(Ettev_kalk!$BB$36:$BB$39)/BH56,0)</f>
        <v>0</v>
      </c>
      <c r="BL42" t="s">
        <v>991</v>
      </c>
      <c r="BM42">
        <f>IFERROR(VLOOKUP(BL34,$A$34:$AD$72,29,FALSE),"0")+IFERROR(VLOOKUP(BM34,$A$34:$AD$72,29,FALSE),"0")</f>
        <v>0</v>
      </c>
      <c r="BN42" t="s">
        <v>992</v>
      </c>
      <c r="BO42">
        <f>IFERROR(BM42*AVERAGE(Ettev_kalk!$BB$36:$BB$39)/BM56,0)</f>
        <v>0</v>
      </c>
      <c r="BQ42" t="s">
        <v>991</v>
      </c>
      <c r="BR42">
        <f>IFERROR(VLOOKUP(BQ34,$A$34:$AD$72,29,FALSE),"0")+IFERROR(VLOOKUP(BR34,$A$34:$AD$72,29,FALSE),"0")</f>
        <v>0</v>
      </c>
      <c r="BS42" t="s">
        <v>992</v>
      </c>
      <c r="BT42">
        <f>IFERROR(BR42*AVERAGE(Ettev_kalk!$BB$36:$BB$39)/BR56,0)</f>
        <v>0</v>
      </c>
      <c r="BV42" t="s">
        <v>991</v>
      </c>
      <c r="BW42">
        <f>IFERROR(VLOOKUP(BV34,$A$34:$AD$72,29,FALSE),"0")+IFERROR(VLOOKUP(BW34,$A$34:$AD$72,29,FALSE),"0")</f>
        <v>0</v>
      </c>
      <c r="BX42" t="s">
        <v>992</v>
      </c>
      <c r="BY42">
        <f>IFERROR(BW42*AVERAGE(Ettev_kalk!$BB$36:$BB$39)/BW56,0)</f>
        <v>0</v>
      </c>
      <c r="CA42" t="s">
        <v>991</v>
      </c>
      <c r="CB42">
        <f>IFERROR(VLOOKUP(CA34,$A$34:$AD$72,29,FALSE),"0")+IFERROR(VLOOKUP(CB34,$A$34:$AD$72,29,FALSE),"0")</f>
        <v>0</v>
      </c>
      <c r="CC42" t="s">
        <v>992</v>
      </c>
      <c r="CD42">
        <f>IFERROR(CB42*AVERAGE(Ettev_kalk!$BB$36:$BB$39)/CB56,0)</f>
        <v>0</v>
      </c>
      <c r="CF42" t="s">
        <v>991</v>
      </c>
      <c r="CG42">
        <f>IFERROR(VLOOKUP(CF34,$A$34:$AD$72,29,FALSE),"0")+IFERROR(VLOOKUP(CG34,$A$34:$AD$72,29,FALSE),"0")</f>
        <v>0</v>
      </c>
      <c r="CH42" t="s">
        <v>992</v>
      </c>
      <c r="CI42">
        <f>IFERROR(CG42*AVERAGE(Ettev_kalk!$BB$36:$BB$39)/CG56,0)</f>
        <v>0</v>
      </c>
      <c r="CK42" t="s">
        <v>991</v>
      </c>
      <c r="CL42">
        <f>IFERROR(VLOOKUP(CK34,$A$34:$AD$72,29,FALSE),"0")+IFERROR(VLOOKUP(CL34,$A$34:$AD$72,29,FALSE),"0")</f>
        <v>0</v>
      </c>
      <c r="CM42" t="s">
        <v>992</v>
      </c>
      <c r="CN42">
        <f>IFERROR(CL42*AVERAGE(Ettev_kalk!$BB$36:$BB$39)/CL56,0)</f>
        <v>0</v>
      </c>
      <c r="CP42" t="s">
        <v>991</v>
      </c>
      <c r="CQ42">
        <f>IFERROR(VLOOKUP(CP34,$A$34:$AD$72,29,FALSE),"0")+IFERROR(VLOOKUP(CQ34,$A$34:$AD$72,29,FALSE),"0")</f>
        <v>0</v>
      </c>
      <c r="CR42" t="s">
        <v>992</v>
      </c>
      <c r="CS42">
        <f>IFERROR(CQ42*AVERAGE(Ettev_kalk!$BB$36:$BB$39)/CQ56,0)</f>
        <v>0</v>
      </c>
      <c r="CU42" t="s">
        <v>991</v>
      </c>
      <c r="CV42">
        <f>IFERROR(VLOOKUP(CU34,$A$34:$AD$72,29,FALSE),"0")+IFERROR(VLOOKUP(CV34,$A$34:$AD$72,29,FALSE),"0")</f>
        <v>0</v>
      </c>
      <c r="CW42" t="s">
        <v>992</v>
      </c>
      <c r="CX42">
        <f>IFERROR(CV42*AVERAGE(Ettev_kalk!$BB$36:$BB$39)/CV56,0)</f>
        <v>0</v>
      </c>
      <c r="CZ42" t="s">
        <v>991</v>
      </c>
      <c r="DA42">
        <f>IFERROR(VLOOKUP(CZ34,$A$34:$AD$72,29,FALSE),"0")+IFERROR(VLOOKUP(DA34,$A$34:$AD$72,29,FALSE),"0")</f>
        <v>0</v>
      </c>
      <c r="DB42" t="s">
        <v>992</v>
      </c>
      <c r="DC42">
        <f>IFERROR(DA42*AVERAGE(Ettev_kalk!$BB$36:$BB$39)/DA56,0)</f>
        <v>0</v>
      </c>
      <c r="DE42" t="s">
        <v>991</v>
      </c>
      <c r="DF42">
        <f>IFERROR(VLOOKUP(DE34,$A$34:$AD$72,29,FALSE),"0")+IFERROR(VLOOKUP(DF34,$A$34:$AD$72,29,FALSE),"0")</f>
        <v>0</v>
      </c>
      <c r="DG42" t="s">
        <v>992</v>
      </c>
      <c r="DH42">
        <f>IFERROR(DF42*AVERAGE(Ettev_kalk!$BB$36:$BB$39)/DF56,0)</f>
        <v>0</v>
      </c>
      <c r="DJ42" t="s">
        <v>991</v>
      </c>
      <c r="DK42">
        <f>IFERROR(VLOOKUP(DJ34,$A$34:$AD$72,29,FALSE),"0")+IFERROR(VLOOKUP(DK34,$A$34:$AD$72,29,FALSE),"0")</f>
        <v>0</v>
      </c>
      <c r="DL42" t="s">
        <v>992</v>
      </c>
      <c r="DM42">
        <f>IFERROR(DK42*AVERAGE(Ettev_kalk!$BB$36:$BB$39)/DK56,0)</f>
        <v>0</v>
      </c>
      <c r="DO42" t="s">
        <v>991</v>
      </c>
      <c r="DP42">
        <f>IFERROR(VLOOKUP(DO34,$A$34:$AD$72,29,FALSE),"0")+IFERROR(VLOOKUP(DP34,$A$34:$AD$72,29,FALSE),"0")</f>
        <v>0</v>
      </c>
      <c r="DQ42" t="s">
        <v>992</v>
      </c>
      <c r="DR42">
        <f>IFERROR(DP42*AVERAGE(Ettev_kalk!$BB$36:$BB$39)/DP56,0)</f>
        <v>0</v>
      </c>
      <c r="DT42" t="s">
        <v>991</v>
      </c>
      <c r="DU42">
        <f>IFERROR(VLOOKUP(DT34,$A$34:$AD$72,29,FALSE),"0")+IFERROR(VLOOKUP(DU34,$A$34:$AD$72,29,FALSE),"0")</f>
        <v>0</v>
      </c>
      <c r="DV42" t="s">
        <v>992</v>
      </c>
      <c r="DW42">
        <f>IFERROR(DU42*AVERAGE(Ettev_kalk!$BB$36:$BB$39)/DU56,0)</f>
        <v>0</v>
      </c>
      <c r="DY42" t="s">
        <v>991</v>
      </c>
      <c r="DZ42">
        <f>IFERROR(VLOOKUP(DY34,$A$34:$AD$72,29,FALSE),"0")+IFERROR(VLOOKUP(DZ34,$A$34:$AD$72,29,FALSE),"0")</f>
        <v>0</v>
      </c>
      <c r="EA42" t="s">
        <v>992</v>
      </c>
      <c r="EB42">
        <f>IFERROR(DZ42*AVERAGE(Ettev_kalk!$BB$36:$BB$39)/DZ56,0)</f>
        <v>0</v>
      </c>
      <c r="ED42" t="s">
        <v>991</v>
      </c>
      <c r="EE42">
        <f>IFERROR(VLOOKUP(ED34,$A$34:$AD$72,29,FALSE),"0")+IFERROR(VLOOKUP(EE34,$A$34:$AD$72,29,FALSE),"0")</f>
        <v>0</v>
      </c>
      <c r="EF42" t="s">
        <v>992</v>
      </c>
      <c r="EG42">
        <f>IFERROR(EE42*AVERAGE(Ettev_kalk!$BB$36:$BB$39)/EE56,0)</f>
        <v>0</v>
      </c>
      <c r="EI42" t="s">
        <v>991</v>
      </c>
      <c r="EJ42">
        <f>IFERROR(VLOOKUP(EI34,$A$34:$AD$72,29,FALSE),"0")+IFERROR(VLOOKUP(EJ34,$A$34:$AD$72,29,FALSE),"0")</f>
        <v>0</v>
      </c>
      <c r="EK42" t="s">
        <v>992</v>
      </c>
      <c r="EL42">
        <f>IFERROR(EJ42*AVERAGE(Ettev_kalk!$BB$36:$BB$39)/EJ56,0)</f>
        <v>0</v>
      </c>
      <c r="EN42" t="s">
        <v>991</v>
      </c>
      <c r="EO42">
        <f>IFERROR(VLOOKUP(EN34,$A$34:$AD$72,29,FALSE),"0")+IFERROR(VLOOKUP(EO34,$A$34:$AD$72,29,FALSE),"0")</f>
        <v>0</v>
      </c>
      <c r="EP42" t="s">
        <v>992</v>
      </c>
      <c r="EQ42">
        <f>IFERROR(EO42*AVERAGE(Ettev_kalk!$BB$36:$BB$39)/EO56,0)</f>
        <v>0</v>
      </c>
      <c r="ES42" t="s">
        <v>991</v>
      </c>
      <c r="ET42">
        <f>IFERROR(VLOOKUP(ES34,$A$34:$AD$72,29,FALSE),"0")+IFERROR(VLOOKUP(ET34,$A$34:$AD$72,29,FALSE),"0")</f>
        <v>0</v>
      </c>
      <c r="EU42" t="s">
        <v>992</v>
      </c>
      <c r="EV42">
        <f>IFERROR(ET42*AVERAGE(Ettev_kalk!$BB$36:$BB$39)/ET56,0)</f>
        <v>0</v>
      </c>
      <c r="EX42" t="s">
        <v>991</v>
      </c>
      <c r="EY42">
        <f>IFERROR(VLOOKUP(EX34,$A$34:$AD$72,29,FALSE),"0")+IFERROR(VLOOKUP(EY34,$A$34:$AD$72,29,FALSE),"0")</f>
        <v>0</v>
      </c>
      <c r="EZ42" t="s">
        <v>992</v>
      </c>
      <c r="FA42">
        <f>IFERROR(EY42*AVERAGE(Ettev_kalk!$BB$36:$BB$39)/EY56,0)</f>
        <v>0</v>
      </c>
      <c r="FC42" t="s">
        <v>991</v>
      </c>
      <c r="FD42">
        <f>IFERROR(VLOOKUP(FC34,$A$34:$AD$72,29,FALSE),"0")+IFERROR(VLOOKUP(FD34,$A$34:$AD$72,29,FALSE),"0")</f>
        <v>0</v>
      </c>
      <c r="FE42" t="s">
        <v>992</v>
      </c>
      <c r="FF42">
        <f>IFERROR(FD42*AVERAGE(Ettev_kalk!$BB$36:$BB$39)/FD56,0)</f>
        <v>0</v>
      </c>
      <c r="FH42" t="s">
        <v>991</v>
      </c>
      <c r="FI42">
        <f>IFERROR(VLOOKUP(FH34,$A$34:$AD$72,29,FALSE),"0")+IFERROR(VLOOKUP(FI34,$A$34:$AD$72,29,FALSE),"0")</f>
        <v>0</v>
      </c>
      <c r="FJ42" t="s">
        <v>992</v>
      </c>
      <c r="FK42">
        <f>IFERROR(FI42*AVERAGE(Ettev_kalk!$BB$36:$BB$39)/FI56,0)</f>
        <v>0</v>
      </c>
      <c r="FM42" t="s">
        <v>991</v>
      </c>
      <c r="FN42">
        <f>IFERROR(VLOOKUP(FM34,$A$34:$AD$72,29,FALSE),"0")+IFERROR(VLOOKUP(FN34,$A$34:$AD$72,29,FALSE),"0")</f>
        <v>0</v>
      </c>
      <c r="FO42" t="s">
        <v>992</v>
      </c>
      <c r="FP42">
        <f>IFERROR(FN42*AVERAGE(Ettev_kalk!$BB$36:$BB$39)/FN56,0)</f>
        <v>0</v>
      </c>
      <c r="FR42" t="s">
        <v>991</v>
      </c>
      <c r="FS42">
        <f>IFERROR(VLOOKUP(FR34,$A$34:$AD$72,29,FALSE),"0")+IFERROR(VLOOKUP(FS34,$A$34:$AD$72,29,FALSE),"0")</f>
        <v>0</v>
      </c>
      <c r="FT42" t="s">
        <v>992</v>
      </c>
      <c r="FU42">
        <f>IFERROR(FS42*AVERAGE(Ettev_kalk!$BB$36:$BB$39)/FS56,0)</f>
        <v>0</v>
      </c>
      <c r="FW42" t="s">
        <v>991</v>
      </c>
      <c r="FX42">
        <f>IFERROR(VLOOKUP(FW34,$A$34:$AD$72,29,FALSE),"0")+IFERROR(VLOOKUP(FX34,$A$34:$AD$72,29,FALSE),"0")</f>
        <v>0</v>
      </c>
      <c r="FY42" t="s">
        <v>992</v>
      </c>
      <c r="FZ42">
        <f>IFERROR(FX42*AVERAGE(Ettev_kalk!$BB$36:$BB$39)/FX56,0)</f>
        <v>0</v>
      </c>
    </row>
    <row r="43" spans="1:182">
      <c r="A43">
        <f>K3</f>
        <v>0</v>
      </c>
      <c r="B43">
        <f>K4</f>
        <v>0</v>
      </c>
      <c r="C43">
        <f>K5</f>
        <v>0</v>
      </c>
      <c r="D43">
        <f>K6</f>
        <v>0</v>
      </c>
      <c r="E43">
        <f>K7</f>
        <v>0</v>
      </c>
      <c r="F43" s="28">
        <f>K8</f>
        <v>0</v>
      </c>
      <c r="G43">
        <f>K9</f>
        <v>0</v>
      </c>
      <c r="H43">
        <f>K10</f>
        <v>0</v>
      </c>
      <c r="I43">
        <f>K11</f>
        <v>0</v>
      </c>
      <c r="J43">
        <f>K12</f>
        <v>0</v>
      </c>
      <c r="K43" s="28">
        <f>K13</f>
        <v>0</v>
      </c>
      <c r="L43">
        <f>K14</f>
        <v>0</v>
      </c>
      <c r="M43" s="28">
        <f>K15</f>
        <v>0</v>
      </c>
      <c r="N43">
        <f>K16</f>
        <v>0</v>
      </c>
      <c r="O43" s="28">
        <f>K17</f>
        <v>0</v>
      </c>
      <c r="P43" s="28">
        <f t="shared" si="14"/>
        <v>0</v>
      </c>
      <c r="Q43" s="28">
        <f t="shared" si="9"/>
        <v>0</v>
      </c>
      <c r="R43" s="28">
        <f t="shared" si="10"/>
        <v>0</v>
      </c>
      <c r="S43" s="28">
        <f t="shared" si="11"/>
        <v>0</v>
      </c>
      <c r="T43" s="28">
        <f t="shared" si="15"/>
        <v>0</v>
      </c>
      <c r="U43">
        <f t="shared" si="16"/>
        <v>0</v>
      </c>
      <c r="V43" s="260" t="e">
        <f>K21</f>
        <v>#DIV/0!</v>
      </c>
      <c r="W43" s="260" t="e">
        <f>K22</f>
        <v>#DIV/0!</v>
      </c>
      <c r="X43">
        <f>K23</f>
        <v>0</v>
      </c>
      <c r="Y43">
        <f>K24</f>
        <v>0</v>
      </c>
      <c r="Z43" s="260" t="e">
        <f>K25</f>
        <v>#DIV/0!</v>
      </c>
      <c r="AA43" s="260" t="e">
        <f>K27</f>
        <v>#DIV/0!</v>
      </c>
      <c r="AB43" t="e">
        <f>K28</f>
        <v>#DIV/0!</v>
      </c>
      <c r="AC43">
        <f>K29</f>
        <v>0</v>
      </c>
      <c r="AD43">
        <f>K30</f>
        <v>0</v>
      </c>
      <c r="AH43" t="s">
        <v>993</v>
      </c>
      <c r="AI43">
        <f>IFERROR(VLOOKUP(AH34,$A$34:$AD$72,30,FALSE),"0")+IFERROR(VLOOKUP(AI34,$A$34:$AD$72,30,FALSE),"0")</f>
        <v>0</v>
      </c>
      <c r="AJ43" t="s">
        <v>994</v>
      </c>
      <c r="AK43">
        <f>IFERROR(AI43*AVERAGE(Ettev_kalk!$BB$41:$BB$43)/Tootep_kalk!AI56,0)</f>
        <v>0</v>
      </c>
      <c r="AM43" t="s">
        <v>993</v>
      </c>
      <c r="AN43">
        <f>IFERROR(VLOOKUP(AM34,$A$34:$AD$72,30,FALSE),"0")+IFERROR(VLOOKUP(AN34,$A$34:$AD$72,30,FALSE),"0")</f>
        <v>0</v>
      </c>
      <c r="AO43" t="s">
        <v>994</v>
      </c>
      <c r="AP43">
        <f>IFERROR(AN43*AVERAGE(Ettev_kalk!$BB$41:$BB$43)/Tootep_kalk!AN56,0)</f>
        <v>0</v>
      </c>
      <c r="AR43" t="s">
        <v>993</v>
      </c>
      <c r="AS43">
        <f>IFERROR(VLOOKUP(AR34,$A$34:$AD$72,30,FALSE),"0")+IFERROR(VLOOKUP(AS34,$A$34:$AD$72,30,FALSE),"0")</f>
        <v>0</v>
      </c>
      <c r="AT43" t="s">
        <v>994</v>
      </c>
      <c r="AU43">
        <f>IFERROR(AS43*AVERAGE(Ettev_kalk!$BB$41:$BB$43)/Tootep_kalk!AS56,0)</f>
        <v>0</v>
      </c>
      <c r="AW43" t="s">
        <v>993</v>
      </c>
      <c r="AX43">
        <f>IFERROR(VLOOKUP(AW34,$A$34:$AD$72,30,FALSE),"0")+IFERROR(VLOOKUP(AX34,$A$34:$AD$72,30,FALSE),"0")</f>
        <v>0</v>
      </c>
      <c r="AY43" t="s">
        <v>994</v>
      </c>
      <c r="AZ43">
        <f>IFERROR(AX43*AVERAGE(Ettev_kalk!$BB$41:$BB$43)/Tootep_kalk!AX56,0)</f>
        <v>0</v>
      </c>
      <c r="BB43" t="s">
        <v>993</v>
      </c>
      <c r="BC43">
        <f>IFERROR(VLOOKUP(BB34,$A$34:$AD$72,30,FALSE),"0")+IFERROR(VLOOKUP(BC34,$A$34:$AD$72,30,FALSE),"0")</f>
        <v>0</v>
      </c>
      <c r="BD43" t="s">
        <v>994</v>
      </c>
      <c r="BE43">
        <f>IFERROR(BC43*AVERAGE(Ettev_kalk!$BB$41:$BB$43)/Tootep_kalk!BC56,0)</f>
        <v>0</v>
      </c>
      <c r="BG43" t="s">
        <v>993</v>
      </c>
      <c r="BH43">
        <f>IFERROR(VLOOKUP(BG34,$A$34:$AD$72,30,FALSE),"0")+IFERROR(VLOOKUP(BH34,$A$34:$AD$72,30,FALSE),"0")</f>
        <v>0</v>
      </c>
      <c r="BI43" t="s">
        <v>994</v>
      </c>
      <c r="BJ43">
        <f>IFERROR(BH43*AVERAGE(Ettev_kalk!$BB$41:$BB$43)/Tootep_kalk!BH56,0)</f>
        <v>0</v>
      </c>
      <c r="BL43" t="s">
        <v>993</v>
      </c>
      <c r="BM43">
        <f>IFERROR(VLOOKUP(BL34,$A$34:$AD$72,30,FALSE),"0")+IFERROR(VLOOKUP(BM34,$A$34:$AD$72,30,FALSE),"0")</f>
        <v>0</v>
      </c>
      <c r="BN43" t="s">
        <v>994</v>
      </c>
      <c r="BO43">
        <f>IFERROR(BM43*AVERAGE(Ettev_kalk!$BB$41:$BB$43)/Tootep_kalk!BM56,0)</f>
        <v>0</v>
      </c>
      <c r="BQ43" t="s">
        <v>993</v>
      </c>
      <c r="BR43">
        <f>IFERROR(VLOOKUP(BQ34,$A$34:$AD$72,30,FALSE),"0")+IFERROR(VLOOKUP(BR34,$A$34:$AD$72,30,FALSE),"0")</f>
        <v>0</v>
      </c>
      <c r="BS43" t="s">
        <v>994</v>
      </c>
      <c r="BT43">
        <f>IFERROR(BR43*AVERAGE(Ettev_kalk!$BB$41:$BB$43)/Tootep_kalk!BR56,0)</f>
        <v>0</v>
      </c>
      <c r="BV43" t="s">
        <v>993</v>
      </c>
      <c r="BW43">
        <f>IFERROR(VLOOKUP(BV34,$A$34:$AD$72,30,FALSE),"0")+IFERROR(VLOOKUP(BW34,$A$34:$AD$72,30,FALSE),"0")</f>
        <v>0</v>
      </c>
      <c r="BX43" t="s">
        <v>994</v>
      </c>
      <c r="BY43">
        <f>IFERROR(BW43*AVERAGE(Ettev_kalk!$BB$41:$BB$43)/Tootep_kalk!BW56,0)</f>
        <v>0</v>
      </c>
      <c r="CA43" t="s">
        <v>993</v>
      </c>
      <c r="CB43">
        <f>IFERROR(VLOOKUP(CA34,$A$34:$AD$72,30,FALSE),"0")+IFERROR(VLOOKUP(CB34,$A$34:$AD$72,30,FALSE),"0")</f>
        <v>0</v>
      </c>
      <c r="CC43" t="s">
        <v>994</v>
      </c>
      <c r="CD43">
        <f>IFERROR(CB43*AVERAGE(Ettev_kalk!$BB$41:$BB$43)/Tootep_kalk!CB56,0)</f>
        <v>0</v>
      </c>
      <c r="CF43" t="s">
        <v>993</v>
      </c>
      <c r="CG43">
        <f>IFERROR(VLOOKUP(CF34,$A$34:$AD$72,30,FALSE),"0")+IFERROR(VLOOKUP(CG34,$A$34:$AD$72,30,FALSE),"0")</f>
        <v>0</v>
      </c>
      <c r="CH43" t="s">
        <v>994</v>
      </c>
      <c r="CI43">
        <f>IFERROR(CG43*AVERAGE(Ettev_kalk!$BB$41:$BB$43)/Tootep_kalk!CG56,0)</f>
        <v>0</v>
      </c>
      <c r="CK43" t="s">
        <v>993</v>
      </c>
      <c r="CL43">
        <f>IFERROR(VLOOKUP(CK34,$A$34:$AD$72,30,FALSE),"0")+IFERROR(VLOOKUP(CL34,$A$34:$AD$72,30,FALSE),"0")</f>
        <v>0</v>
      </c>
      <c r="CM43" t="s">
        <v>994</v>
      </c>
      <c r="CN43">
        <f>IFERROR(CL43*AVERAGE(Ettev_kalk!$BB$41:$BB$43)/Tootep_kalk!CL56,0)</f>
        <v>0</v>
      </c>
      <c r="CP43" t="s">
        <v>993</v>
      </c>
      <c r="CQ43">
        <f>IFERROR(VLOOKUP(CP34,$A$34:$AD$72,30,FALSE),"0")+IFERROR(VLOOKUP(CQ34,$A$34:$AD$72,30,FALSE),"0")</f>
        <v>0</v>
      </c>
      <c r="CR43" t="s">
        <v>994</v>
      </c>
      <c r="CS43">
        <f>IFERROR(CQ43*AVERAGE(Ettev_kalk!$BB$41:$BB$43)/Tootep_kalk!CQ56,0)</f>
        <v>0</v>
      </c>
      <c r="CU43" t="s">
        <v>993</v>
      </c>
      <c r="CV43">
        <f>IFERROR(VLOOKUP(CU34,$A$34:$AD$72,30,FALSE),"0")+IFERROR(VLOOKUP(CV34,$A$34:$AD$72,30,FALSE),"0")</f>
        <v>0</v>
      </c>
      <c r="CW43" t="s">
        <v>994</v>
      </c>
      <c r="CX43">
        <f>IFERROR(CV43*AVERAGE(Ettev_kalk!$BB$41:$BB$43)/Tootep_kalk!CV56,0)</f>
        <v>0</v>
      </c>
      <c r="CZ43" t="s">
        <v>993</v>
      </c>
      <c r="DA43">
        <f>IFERROR(VLOOKUP(CZ34,$A$34:$AD$72,30,FALSE),"0")+IFERROR(VLOOKUP(DA34,$A$34:$AD$72,30,FALSE),"0")</f>
        <v>0</v>
      </c>
      <c r="DB43" t="s">
        <v>994</v>
      </c>
      <c r="DC43">
        <f>IFERROR(DA43*AVERAGE(Ettev_kalk!$BB$41:$BB$43)/Tootep_kalk!DA56,0)</f>
        <v>0</v>
      </c>
      <c r="DE43" t="s">
        <v>993</v>
      </c>
      <c r="DF43">
        <f>IFERROR(VLOOKUP(DE34,$A$34:$AD$72,30,FALSE),"0")+IFERROR(VLOOKUP(DF34,$A$34:$AD$72,30,FALSE),"0")</f>
        <v>0</v>
      </c>
      <c r="DG43" t="s">
        <v>994</v>
      </c>
      <c r="DH43">
        <f>IFERROR(DF43*AVERAGE(Ettev_kalk!$BB$41:$BB$43)/Tootep_kalk!DF56,0)</f>
        <v>0</v>
      </c>
      <c r="DJ43" t="s">
        <v>993</v>
      </c>
      <c r="DK43">
        <f>IFERROR(VLOOKUP(DJ34,$A$34:$AD$72,30,FALSE),"0")+IFERROR(VLOOKUP(DK34,$A$34:$AD$72,30,FALSE),"0")</f>
        <v>0</v>
      </c>
      <c r="DL43" t="s">
        <v>994</v>
      </c>
      <c r="DM43">
        <f>IFERROR(DK43*AVERAGE(Ettev_kalk!$BB$41:$BB$43)/Tootep_kalk!DK56,0)</f>
        <v>0</v>
      </c>
      <c r="DO43" t="s">
        <v>993</v>
      </c>
      <c r="DP43">
        <f>IFERROR(VLOOKUP(DO34,$A$34:$AD$72,30,FALSE),"0")+IFERROR(VLOOKUP(DP34,$A$34:$AD$72,30,FALSE),"0")</f>
        <v>0</v>
      </c>
      <c r="DQ43" t="s">
        <v>994</v>
      </c>
      <c r="DR43">
        <f>IFERROR(DP43*AVERAGE(Ettev_kalk!$BB$41:$BB$43)/Tootep_kalk!DP56,0)</f>
        <v>0</v>
      </c>
      <c r="DT43" t="s">
        <v>993</v>
      </c>
      <c r="DU43">
        <f>IFERROR(VLOOKUP(DT34,$A$34:$AD$72,30,FALSE),"0")+IFERROR(VLOOKUP(DU34,$A$34:$AD$72,30,FALSE),"0")</f>
        <v>0</v>
      </c>
      <c r="DV43" t="s">
        <v>994</v>
      </c>
      <c r="DW43">
        <f>IFERROR(DU43*AVERAGE(Ettev_kalk!$BB$41:$BB$43)/Tootep_kalk!DU56,0)</f>
        <v>0</v>
      </c>
      <c r="DY43" t="s">
        <v>993</v>
      </c>
      <c r="DZ43">
        <f>IFERROR(VLOOKUP(DY34,$A$34:$AD$72,30,FALSE),"0")+IFERROR(VLOOKUP(DZ34,$A$34:$AD$72,30,FALSE),"0")</f>
        <v>0</v>
      </c>
      <c r="EA43" t="s">
        <v>994</v>
      </c>
      <c r="EB43">
        <f>IFERROR(DZ43*AVERAGE(Ettev_kalk!$BB$41:$BB$43)/Tootep_kalk!DZ56,0)</f>
        <v>0</v>
      </c>
      <c r="ED43" t="s">
        <v>993</v>
      </c>
      <c r="EE43">
        <f>IFERROR(VLOOKUP(ED34,$A$34:$AD$72,30,FALSE),"0")+IFERROR(VLOOKUP(EE34,$A$34:$AD$72,30,FALSE),"0")</f>
        <v>0</v>
      </c>
      <c r="EF43" t="s">
        <v>994</v>
      </c>
      <c r="EG43">
        <f>IFERROR(EE43*AVERAGE(Ettev_kalk!$BB$41:$BB$43)/Tootep_kalk!EE56,0)</f>
        <v>0</v>
      </c>
      <c r="EI43" t="s">
        <v>993</v>
      </c>
      <c r="EJ43">
        <f>IFERROR(VLOOKUP(EI34,$A$34:$AD$72,30,FALSE),"0")+IFERROR(VLOOKUP(EJ34,$A$34:$AD$72,30,FALSE),"0")</f>
        <v>0</v>
      </c>
      <c r="EK43" t="s">
        <v>994</v>
      </c>
      <c r="EL43">
        <f>IFERROR(EJ43*AVERAGE(Ettev_kalk!$BB$41:$BB$43)/Tootep_kalk!EJ56,0)</f>
        <v>0</v>
      </c>
      <c r="EN43" t="s">
        <v>993</v>
      </c>
      <c r="EO43">
        <f>IFERROR(VLOOKUP(EN34,$A$34:$AD$72,30,FALSE),"0")+IFERROR(VLOOKUP(EO34,$A$34:$AD$72,30,FALSE),"0")</f>
        <v>0</v>
      </c>
      <c r="EP43" t="s">
        <v>994</v>
      </c>
      <c r="EQ43">
        <f>IFERROR(EO43*AVERAGE(Ettev_kalk!$BB$41:$BB$43)/Tootep_kalk!EO56,0)</f>
        <v>0</v>
      </c>
      <c r="ES43" t="s">
        <v>993</v>
      </c>
      <c r="ET43">
        <f>IFERROR(VLOOKUP(ES34,$A$34:$AD$72,30,FALSE),"0")+IFERROR(VLOOKUP(ET34,$A$34:$AD$72,30,FALSE),"0")</f>
        <v>0</v>
      </c>
      <c r="EU43" t="s">
        <v>994</v>
      </c>
      <c r="EV43">
        <f>IFERROR(ET43*AVERAGE(Ettev_kalk!$BB$41:$BB$43)/Tootep_kalk!ET56,0)</f>
        <v>0</v>
      </c>
      <c r="EX43" t="s">
        <v>993</v>
      </c>
      <c r="EY43">
        <f>IFERROR(VLOOKUP(EX34,$A$34:$AD$72,30,FALSE),"0")+IFERROR(VLOOKUP(EY34,$A$34:$AD$72,30,FALSE),"0")</f>
        <v>0</v>
      </c>
      <c r="EZ43" t="s">
        <v>994</v>
      </c>
      <c r="FA43">
        <f>IFERROR(EY43*AVERAGE(Ettev_kalk!$BB$41:$BB$43)/Tootep_kalk!EY56,0)</f>
        <v>0</v>
      </c>
      <c r="FC43" t="s">
        <v>993</v>
      </c>
      <c r="FD43">
        <f>IFERROR(VLOOKUP(FC34,$A$34:$AD$72,30,FALSE),"0")+IFERROR(VLOOKUP(FD34,$A$34:$AD$72,30,FALSE),"0")</f>
        <v>0</v>
      </c>
      <c r="FE43" t="s">
        <v>994</v>
      </c>
      <c r="FF43">
        <f>IFERROR(FD43*AVERAGE(Ettev_kalk!$BB$41:$BB$43)/Tootep_kalk!FD56,0)</f>
        <v>0</v>
      </c>
      <c r="FH43" t="s">
        <v>993</v>
      </c>
      <c r="FI43">
        <f>IFERROR(VLOOKUP(FH34,$A$34:$AD$72,30,FALSE),"0")+IFERROR(VLOOKUP(FI34,$A$34:$AD$72,30,FALSE),"0")</f>
        <v>0</v>
      </c>
      <c r="FJ43" t="s">
        <v>994</v>
      </c>
      <c r="FK43">
        <f>IFERROR(FI43*AVERAGE(Ettev_kalk!$BB$41:$BB$43)/Tootep_kalk!FI56,0)</f>
        <v>0</v>
      </c>
      <c r="FM43" t="s">
        <v>993</v>
      </c>
      <c r="FN43">
        <f>IFERROR(VLOOKUP(FM34,$A$34:$AD$72,30,FALSE),"0")+IFERROR(VLOOKUP(FN34,$A$34:$AD$72,30,FALSE),"0")</f>
        <v>0</v>
      </c>
      <c r="FO43" t="s">
        <v>994</v>
      </c>
      <c r="FP43">
        <f>IFERROR(FN43*AVERAGE(Ettev_kalk!$BB$41:$BB$43)/Tootep_kalk!FN56,0)</f>
        <v>0</v>
      </c>
      <c r="FR43" t="s">
        <v>993</v>
      </c>
      <c r="FS43">
        <f>IFERROR(VLOOKUP(FR34,$A$34:$AD$72,30,FALSE),"0")+IFERROR(VLOOKUP(FS34,$A$34:$AD$72,30,FALSE),"0")</f>
        <v>0</v>
      </c>
      <c r="FT43" t="s">
        <v>994</v>
      </c>
      <c r="FU43">
        <f>IFERROR(FS43*AVERAGE(Ettev_kalk!$BB$41:$BB$43)/Tootep_kalk!FS56,0)</f>
        <v>0</v>
      </c>
      <c r="FW43" t="s">
        <v>993</v>
      </c>
      <c r="FX43">
        <f>IFERROR(VLOOKUP(FW34,$A$34:$AD$72,30,FALSE),"0")+IFERROR(VLOOKUP(FX34,$A$34:$AD$72,30,FALSE),"0")</f>
        <v>0</v>
      </c>
      <c r="FY43" t="s">
        <v>994</v>
      </c>
      <c r="FZ43">
        <f>IFERROR(FX43*AVERAGE(Ettev_kalk!$BB$41:$BB$43)/Tootep_kalk!FX56,0)</f>
        <v>0</v>
      </c>
    </row>
    <row r="44" spans="1:182">
      <c r="A44">
        <f>L3</f>
        <v>0</v>
      </c>
      <c r="B44">
        <f>L4</f>
        <v>0</v>
      </c>
      <c r="C44">
        <f>L5</f>
        <v>0</v>
      </c>
      <c r="D44">
        <f>L6</f>
        <v>0</v>
      </c>
      <c r="E44">
        <f>L7</f>
        <v>0</v>
      </c>
      <c r="F44" s="28">
        <f>L8</f>
        <v>0</v>
      </c>
      <c r="G44">
        <f>L9</f>
        <v>0</v>
      </c>
      <c r="H44">
        <f>L10</f>
        <v>0</v>
      </c>
      <c r="I44">
        <f>L11</f>
        <v>0</v>
      </c>
      <c r="J44">
        <f>L12</f>
        <v>0</v>
      </c>
      <c r="K44" s="28">
        <f>L13</f>
        <v>0</v>
      </c>
      <c r="L44">
        <f>L14</f>
        <v>0</v>
      </c>
      <c r="M44" s="28">
        <f>L15</f>
        <v>0</v>
      </c>
      <c r="N44">
        <f>L16</f>
        <v>0</v>
      </c>
      <c r="O44" s="28">
        <f>L17</f>
        <v>0</v>
      </c>
      <c r="P44" s="28">
        <f t="shared" si="14"/>
        <v>0</v>
      </c>
      <c r="Q44" s="28">
        <f t="shared" si="9"/>
        <v>0</v>
      </c>
      <c r="R44" s="28">
        <f t="shared" si="10"/>
        <v>0</v>
      </c>
      <c r="S44" s="28">
        <f t="shared" si="11"/>
        <v>0</v>
      </c>
      <c r="T44" s="28">
        <f t="shared" si="15"/>
        <v>0</v>
      </c>
      <c r="U44">
        <f t="shared" si="16"/>
        <v>0</v>
      </c>
      <c r="V44" s="260" t="e">
        <f>L21</f>
        <v>#DIV/0!</v>
      </c>
      <c r="W44" s="260" t="e">
        <f>L22</f>
        <v>#DIV/0!</v>
      </c>
      <c r="X44">
        <f>L23</f>
        <v>0</v>
      </c>
      <c r="Y44">
        <f>L24</f>
        <v>0</v>
      </c>
      <c r="Z44" s="260" t="e">
        <f>L25</f>
        <v>#DIV/0!</v>
      </c>
      <c r="AA44" s="260" t="e">
        <f>L27</f>
        <v>#DIV/0!</v>
      </c>
      <c r="AB44" t="e">
        <f>L28</f>
        <v>#DIV/0!</v>
      </c>
      <c r="AC44">
        <f>L29</f>
        <v>0</v>
      </c>
      <c r="AD44">
        <f>L30</f>
        <v>0</v>
      </c>
      <c r="AH44" t="s">
        <v>995</v>
      </c>
      <c r="AK44" t="str">
        <f>IFERROR((IFERROR(VLOOKUP(AH34,$A$34:$AD$72,24,FALSE),"0")+IFERROR(VLOOKUP(AI34,$A$34:$AD$72,24,FALSE),"0"))/AI56,"0")</f>
        <v>0</v>
      </c>
      <c r="AM44" t="s">
        <v>995</v>
      </c>
      <c r="AP44" t="str">
        <f>IFERROR((IFERROR(VLOOKUP(AM34,$A$34:$AD$72,24,FALSE),"0")+IFERROR(VLOOKUP(AN34,$A$34:$AD$72,24,FALSE),"0"))/AN56,"0")</f>
        <v>0</v>
      </c>
      <c r="AR44" t="s">
        <v>995</v>
      </c>
      <c r="AU44" t="str">
        <f>IFERROR((IFERROR(VLOOKUP(AR34,$A$34:$AD$72,24,FALSE),"0")+IFERROR(VLOOKUP(AS34,$A$34:$AD$72,24,FALSE),"0"))/AS56,"0")</f>
        <v>0</v>
      </c>
      <c r="AW44" t="s">
        <v>995</v>
      </c>
      <c r="AZ44" t="str">
        <f>IFERROR((IFERROR(VLOOKUP(AW34,$A$34:$AD$72,24,FALSE),"0")+IFERROR(VLOOKUP(AX34,$A$34:$AD$72,24,FALSE),"0"))/AX56,"0")</f>
        <v>0</v>
      </c>
      <c r="BB44" t="s">
        <v>995</v>
      </c>
      <c r="BE44" t="str">
        <f>IFERROR((IFERROR(VLOOKUP(BB34,$A$34:$AD$72,24,FALSE),"0")+IFERROR(VLOOKUP(BC34,$A$34:$AD$72,24,FALSE),"0"))/BC56,"0")</f>
        <v>0</v>
      </c>
      <c r="BG44" t="s">
        <v>995</v>
      </c>
      <c r="BJ44" t="str">
        <f>IFERROR((IFERROR(VLOOKUP(BG34,$A$34:$AD$72,24,FALSE),"0")+IFERROR(VLOOKUP(BH34,$A$34:$AD$72,24,FALSE),"0"))/BH56,"0")</f>
        <v>0</v>
      </c>
      <c r="BL44" t="s">
        <v>995</v>
      </c>
      <c r="BO44" t="str">
        <f>IFERROR((IFERROR(VLOOKUP(BL34,$A$34:$AD$72,24,FALSE),"0")+IFERROR(VLOOKUP(BM34,$A$34:$AD$72,24,FALSE),"0"))/BM56,"0")</f>
        <v>0</v>
      </c>
      <c r="BQ44" t="s">
        <v>995</v>
      </c>
      <c r="BT44" t="str">
        <f>IFERROR((IFERROR(VLOOKUP(BQ34,$A$34:$AD$72,24,FALSE),"0")+IFERROR(VLOOKUP(BR34,$A$34:$AD$72,24,FALSE),"0"))/BR56,"0")</f>
        <v>0</v>
      </c>
      <c r="BV44" t="s">
        <v>995</v>
      </c>
      <c r="BY44" t="str">
        <f>IFERROR((IFERROR(VLOOKUP(BV34,$A$34:$AD$72,24,FALSE),"0")+IFERROR(VLOOKUP(BW34,$A$34:$AD$72,24,FALSE),"0"))/BW56,"0")</f>
        <v>0</v>
      </c>
      <c r="CA44" t="s">
        <v>995</v>
      </c>
      <c r="CD44" t="str">
        <f>IFERROR((IFERROR(VLOOKUP(CA34,$A$34:$AD$72,24,FALSE),"0")+IFERROR(VLOOKUP(CB34,$A$34:$AD$72,24,FALSE),"0"))/CB56,"0")</f>
        <v>0</v>
      </c>
      <c r="CF44" t="s">
        <v>995</v>
      </c>
      <c r="CI44" t="str">
        <f>IFERROR((IFERROR(VLOOKUP(CF34,$A$34:$AD$72,24,FALSE),"0")+IFERROR(VLOOKUP(CG34,$A$34:$AD$72,24,FALSE),"0"))/CG56,"0")</f>
        <v>0</v>
      </c>
      <c r="CK44" t="s">
        <v>995</v>
      </c>
      <c r="CN44" t="str">
        <f>IFERROR((IFERROR(VLOOKUP(CK34,$A$34:$AD$72,24,FALSE),"0")+IFERROR(VLOOKUP(CL34,$A$34:$AD$72,24,FALSE),"0"))/CL56,"0")</f>
        <v>0</v>
      </c>
      <c r="CP44" t="s">
        <v>995</v>
      </c>
      <c r="CS44" t="str">
        <f>IFERROR((IFERROR(VLOOKUP(CP34,$A$34:$AD$72,24,FALSE),"0")+IFERROR(VLOOKUP(CQ34,$A$34:$AD$72,24,FALSE),"0"))/CQ56,"0")</f>
        <v>0</v>
      </c>
      <c r="CU44" t="s">
        <v>995</v>
      </c>
      <c r="CX44" t="str">
        <f>IFERROR((IFERROR(VLOOKUP(CU34,$A$34:$AD$72,24,FALSE),"0")+IFERROR(VLOOKUP(CV34,$A$34:$AD$72,24,FALSE),"0"))/CV56,"0")</f>
        <v>0</v>
      </c>
      <c r="CZ44" t="s">
        <v>995</v>
      </c>
      <c r="DC44" t="str">
        <f>IFERROR((IFERROR(VLOOKUP(CZ34,$A$34:$AD$72,24,FALSE),"0")+IFERROR(VLOOKUP(DA34,$A$34:$AD$72,24,FALSE),"0"))/DA56,"0")</f>
        <v>0</v>
      </c>
      <c r="DE44" t="s">
        <v>995</v>
      </c>
      <c r="DH44" t="str">
        <f>IFERROR((IFERROR(VLOOKUP(DE34,$A$34:$AD$72,24,FALSE),"0")+IFERROR(VLOOKUP(DF34,$A$34:$AD$72,24,FALSE),"0"))/DF56,"0")</f>
        <v>0</v>
      </c>
      <c r="DJ44" t="s">
        <v>995</v>
      </c>
      <c r="DM44" t="str">
        <f>IFERROR((IFERROR(VLOOKUP(DJ34,$A$34:$AD$72,24,FALSE),"0")+IFERROR(VLOOKUP(DK34,$A$34:$AD$72,24,FALSE),"0"))/DK56,"0")</f>
        <v>0</v>
      </c>
      <c r="DO44" t="s">
        <v>995</v>
      </c>
      <c r="DR44" t="str">
        <f>IFERROR((IFERROR(VLOOKUP(DO34,$A$34:$AD$72,24,FALSE),"0")+IFERROR(VLOOKUP(DP34,$A$34:$AD$72,24,FALSE),"0"))/DP56,"0")</f>
        <v>0</v>
      </c>
      <c r="DT44" t="s">
        <v>995</v>
      </c>
      <c r="DW44" t="str">
        <f>IFERROR((IFERROR(VLOOKUP(DT34,$A$34:$AD$72,24,FALSE),"0")+IFERROR(VLOOKUP(DU34,$A$34:$AD$72,24,FALSE),"0"))/DU56,"0")</f>
        <v>0</v>
      </c>
      <c r="DY44" t="s">
        <v>995</v>
      </c>
      <c r="EB44" t="str">
        <f>IFERROR((IFERROR(VLOOKUP(DY34,$A$34:$AD$72,24,FALSE),"0")+IFERROR(VLOOKUP(DZ34,$A$34:$AD$72,24,FALSE),"0"))/DZ56,"0")</f>
        <v>0</v>
      </c>
      <c r="ED44" t="s">
        <v>995</v>
      </c>
      <c r="EG44" t="str">
        <f>IFERROR((IFERROR(VLOOKUP(ED34,$A$34:$AD$72,24,FALSE),"0")+IFERROR(VLOOKUP(EE34,$A$34:$AD$72,24,FALSE),"0"))/EE56,"0")</f>
        <v>0</v>
      </c>
      <c r="EI44" t="s">
        <v>995</v>
      </c>
      <c r="EL44" t="str">
        <f>IFERROR((IFERROR(VLOOKUP(EI34,$A$34:$AD$72,24,FALSE),"0")+IFERROR(VLOOKUP(EJ34,$A$34:$AD$72,24,FALSE),"0"))/EJ56,"0")</f>
        <v>0</v>
      </c>
      <c r="EN44" t="s">
        <v>995</v>
      </c>
      <c r="EQ44" t="str">
        <f>IFERROR((IFERROR(VLOOKUP(EN34,$A$34:$AD$72,24,FALSE),"0")+IFERROR(VLOOKUP(EO34,$A$34:$AD$72,24,FALSE),"0"))/EO56,"0")</f>
        <v>0</v>
      </c>
      <c r="ES44" t="s">
        <v>995</v>
      </c>
      <c r="EV44" t="str">
        <f>IFERROR((IFERROR(VLOOKUP(ES34,$A$34:$AD$72,24,FALSE),"0")+IFERROR(VLOOKUP(ET34,$A$34:$AD$72,24,FALSE),"0"))/ET56,"0")</f>
        <v>0</v>
      </c>
      <c r="EX44" t="s">
        <v>995</v>
      </c>
      <c r="FA44" t="str">
        <f>IFERROR((IFERROR(VLOOKUP(EX34,$A$34:$AD$72,24,FALSE),"0")+IFERROR(VLOOKUP(EY34,$A$34:$AD$72,24,FALSE),"0"))/EY56,"0")</f>
        <v>0</v>
      </c>
      <c r="FC44" t="s">
        <v>995</v>
      </c>
      <c r="FF44" t="str">
        <f>IFERROR((IFERROR(VLOOKUP(FC34,$A$34:$AD$72,24,FALSE),"0")+IFERROR(VLOOKUP(FD34,$A$34:$AD$72,24,FALSE),"0"))/FD56,"0")</f>
        <v>0</v>
      </c>
      <c r="FH44" t="s">
        <v>995</v>
      </c>
      <c r="FK44" t="str">
        <f>IFERROR((IFERROR(VLOOKUP(FH34,$A$34:$AD$72,24,FALSE),"0")+IFERROR(VLOOKUP(FI34,$A$34:$AD$72,24,FALSE),"0"))/FI56,"0")</f>
        <v>0</v>
      </c>
      <c r="FM44" t="s">
        <v>995</v>
      </c>
      <c r="FP44" t="str">
        <f>IFERROR((IFERROR(VLOOKUP(FM34,$A$34:$AD$72,24,FALSE),"0")+IFERROR(VLOOKUP(FN34,$A$34:$AD$72,24,FALSE),"0"))/FN56,"0")</f>
        <v>0</v>
      </c>
      <c r="FR44" t="s">
        <v>995</v>
      </c>
      <c r="FU44" t="str">
        <f>IFERROR((IFERROR(VLOOKUP(FR34,$A$34:$AD$72,24,FALSE),"0")+IFERROR(VLOOKUP(FS34,$A$34:$AD$72,24,FALSE),"0"))/FS56,"0")</f>
        <v>0</v>
      </c>
      <c r="FW44" t="s">
        <v>995</v>
      </c>
      <c r="FZ44" t="str">
        <f>IFERROR((IFERROR(VLOOKUP(FW34,$A$34:$AD$72,24,FALSE),"0")+IFERROR(VLOOKUP(FX34,$A$34:$AD$72,24,FALSE),"0"))/FX56,"0")</f>
        <v>0</v>
      </c>
    </row>
    <row r="45" spans="1:182">
      <c r="A45">
        <f>M3</f>
        <v>0</v>
      </c>
      <c r="B45">
        <f>M4</f>
        <v>0</v>
      </c>
      <c r="C45">
        <f>M5</f>
        <v>0</v>
      </c>
      <c r="D45">
        <f>M6</f>
        <v>0</v>
      </c>
      <c r="E45">
        <f>M7</f>
        <v>0</v>
      </c>
      <c r="F45" s="28">
        <f>M8</f>
        <v>0</v>
      </c>
      <c r="G45">
        <f>M9</f>
        <v>0</v>
      </c>
      <c r="H45">
        <f>M10</f>
        <v>0</v>
      </c>
      <c r="I45">
        <f>M11</f>
        <v>0</v>
      </c>
      <c r="J45">
        <f>M12</f>
        <v>0</v>
      </c>
      <c r="K45" s="28">
        <f>M13</f>
        <v>0</v>
      </c>
      <c r="L45">
        <f>M14</f>
        <v>0</v>
      </c>
      <c r="M45" s="28">
        <f>M15</f>
        <v>0</v>
      </c>
      <c r="N45">
        <f>M16</f>
        <v>0</v>
      </c>
      <c r="O45" s="28">
        <f>M17</f>
        <v>0</v>
      </c>
      <c r="P45" s="28">
        <f t="shared" si="14"/>
        <v>0</v>
      </c>
      <c r="Q45" s="28">
        <f t="shared" si="9"/>
        <v>0</v>
      </c>
      <c r="R45" s="28">
        <f t="shared" si="10"/>
        <v>0</v>
      </c>
      <c r="S45" s="28">
        <f t="shared" si="11"/>
        <v>0</v>
      </c>
      <c r="T45" s="28">
        <f t="shared" si="15"/>
        <v>0</v>
      </c>
      <c r="U45">
        <f t="shared" si="16"/>
        <v>0</v>
      </c>
      <c r="V45" s="260" t="e">
        <f>M21</f>
        <v>#DIV/0!</v>
      </c>
      <c r="W45" s="260" t="e">
        <f>M22</f>
        <v>#DIV/0!</v>
      </c>
      <c r="X45">
        <f>M23</f>
        <v>0</v>
      </c>
      <c r="Y45">
        <f>M24</f>
        <v>0</v>
      </c>
      <c r="Z45" s="260" t="e">
        <f>M25</f>
        <v>#DIV/0!</v>
      </c>
      <c r="AA45" s="260" t="e">
        <f>M27</f>
        <v>#DIV/0!</v>
      </c>
      <c r="AB45" t="e">
        <f>M28</f>
        <v>#DIV/0!</v>
      </c>
      <c r="AC45">
        <f>M29</f>
        <v>0</v>
      </c>
      <c r="AD45">
        <f>M30</f>
        <v>0</v>
      </c>
      <c r="AH45" t="s">
        <v>422</v>
      </c>
      <c r="AK45" t="str">
        <f>IFERROR((IFERROR(VLOOKUP(AH34,$A$34:$AD$72,25,FALSE),"0")+IFERROR(VLOOKUP(AI34,$A$34:$AD$72,25,FALSE),"0"))/AI56,"0")</f>
        <v>0</v>
      </c>
      <c r="AM45" t="s">
        <v>422</v>
      </c>
      <c r="AP45" t="str">
        <f>IFERROR((IFERROR(VLOOKUP(AM34,$A$34:$AD$72,25,FALSE),"0")+IFERROR(VLOOKUP(AN34,$A$34:$AD$72,25,FALSE),"0"))/AN56,"0")</f>
        <v>0</v>
      </c>
      <c r="AR45" t="s">
        <v>422</v>
      </c>
      <c r="AU45" t="str">
        <f>IFERROR((IFERROR(VLOOKUP(AR34,$A$34:$AD$72,25,FALSE),"0")+IFERROR(VLOOKUP(AS34,$A$34:$AD$72,25,FALSE),"0"))/AS56,"0")</f>
        <v>0</v>
      </c>
      <c r="AW45" t="s">
        <v>422</v>
      </c>
      <c r="AZ45" t="str">
        <f>IFERROR((IFERROR(VLOOKUP(AW34,$A$34:$AD$72,25,FALSE),"0")+IFERROR(VLOOKUP(AX34,$A$34:$AD$72,25,FALSE),"0"))/AX56,"0")</f>
        <v>0</v>
      </c>
      <c r="BB45" t="s">
        <v>422</v>
      </c>
      <c r="BE45" t="str">
        <f>IFERROR((IFERROR(VLOOKUP(BB34,$A$34:$AD$72,25,FALSE),"0")+IFERROR(VLOOKUP(BC34,$A$34:$AD$72,25,FALSE),"0"))/BC56,"0")</f>
        <v>0</v>
      </c>
      <c r="BG45" t="s">
        <v>422</v>
      </c>
      <c r="BJ45" t="str">
        <f>IFERROR((IFERROR(VLOOKUP(BG34,$A$34:$AD$72,25,FALSE),"0")+IFERROR(VLOOKUP(BH34,$A$34:$AD$72,25,FALSE),"0"))/BH56,"0")</f>
        <v>0</v>
      </c>
      <c r="BL45" t="s">
        <v>422</v>
      </c>
      <c r="BO45" t="str">
        <f>IFERROR((IFERROR(VLOOKUP(BL34,$A$34:$AD$72,25,FALSE),"0")+IFERROR(VLOOKUP(BM34,$A$34:$AD$72,25,FALSE),"0"))/BM56,"0")</f>
        <v>0</v>
      </c>
      <c r="BQ45" t="s">
        <v>422</v>
      </c>
      <c r="BT45" t="str">
        <f>IFERROR((IFERROR(VLOOKUP(BQ34,$A$34:$AD$72,25,FALSE),"0")+IFERROR(VLOOKUP(BR34,$A$34:$AD$72,25,FALSE),"0"))/BR56,"0")</f>
        <v>0</v>
      </c>
      <c r="BV45" t="s">
        <v>422</v>
      </c>
      <c r="BY45" t="str">
        <f>IFERROR((IFERROR(VLOOKUP(BV34,$A$34:$AD$72,25,FALSE),"0")+IFERROR(VLOOKUP(BW34,$A$34:$AD$72,25,FALSE),"0"))/BW56,"0")</f>
        <v>0</v>
      </c>
      <c r="CA45" t="s">
        <v>422</v>
      </c>
      <c r="CD45" t="str">
        <f>IFERROR((IFERROR(VLOOKUP(CA34,$A$34:$AD$72,25,FALSE),"0")+IFERROR(VLOOKUP(CB34,$A$34:$AD$72,25,FALSE),"0"))/CB56,"0")</f>
        <v>0</v>
      </c>
      <c r="CF45" t="s">
        <v>422</v>
      </c>
      <c r="CI45" t="str">
        <f>IFERROR((IFERROR(VLOOKUP(CF34,$A$34:$AD$72,25,FALSE),"0")+IFERROR(VLOOKUP(CG34,$A$34:$AD$72,25,FALSE),"0"))/CG56,"0")</f>
        <v>0</v>
      </c>
      <c r="CK45" t="s">
        <v>422</v>
      </c>
      <c r="CN45" t="str">
        <f>IFERROR((IFERROR(VLOOKUP(CK34,$A$34:$AD$72,25,FALSE),"0")+IFERROR(VLOOKUP(CL34,$A$34:$AD$72,25,FALSE),"0"))/CL56,"0")</f>
        <v>0</v>
      </c>
      <c r="CP45" t="s">
        <v>422</v>
      </c>
      <c r="CS45" t="str">
        <f>IFERROR((IFERROR(VLOOKUP(CP34,$A$34:$AD$72,25,FALSE),"0")+IFERROR(VLOOKUP(CQ34,$A$34:$AD$72,25,FALSE),"0"))/CQ56,"0")</f>
        <v>0</v>
      </c>
      <c r="CU45" t="s">
        <v>422</v>
      </c>
      <c r="CX45" t="str">
        <f>IFERROR((IFERROR(VLOOKUP(CU34,$A$34:$AD$72,25,FALSE),"0")+IFERROR(VLOOKUP(CV34,$A$34:$AD$72,25,FALSE),"0"))/CV56,"0")</f>
        <v>0</v>
      </c>
      <c r="CZ45" t="s">
        <v>422</v>
      </c>
      <c r="DC45" t="str">
        <f>IFERROR((IFERROR(VLOOKUP(CZ34,$A$34:$AD$72,25,FALSE),"0")+IFERROR(VLOOKUP(DA34,$A$34:$AD$72,25,FALSE),"0"))/DA56,"0")</f>
        <v>0</v>
      </c>
      <c r="DE45" t="s">
        <v>422</v>
      </c>
      <c r="DH45" t="str">
        <f>IFERROR((IFERROR(VLOOKUP(DE34,$A$34:$AD$72,25,FALSE),"0")+IFERROR(VLOOKUP(DF34,$A$34:$AD$72,25,FALSE),"0"))/DF56,"0")</f>
        <v>0</v>
      </c>
      <c r="DJ45" t="s">
        <v>422</v>
      </c>
      <c r="DM45" t="str">
        <f>IFERROR((IFERROR(VLOOKUP(DJ34,$A$34:$AD$72,25,FALSE),"0")+IFERROR(VLOOKUP(DK34,$A$34:$AD$72,25,FALSE),"0"))/DK56,"0")</f>
        <v>0</v>
      </c>
      <c r="DO45" t="s">
        <v>422</v>
      </c>
      <c r="DR45" t="str">
        <f>IFERROR((IFERROR(VLOOKUP(DO34,$A$34:$AD$72,25,FALSE),"0")+IFERROR(VLOOKUP(DP34,$A$34:$AD$72,25,FALSE),"0"))/DP56,"0")</f>
        <v>0</v>
      </c>
      <c r="DT45" t="s">
        <v>422</v>
      </c>
      <c r="DW45" t="str">
        <f>IFERROR((IFERROR(VLOOKUP(DT34,$A$34:$AD$72,25,FALSE),"0")+IFERROR(VLOOKUP(DU34,$A$34:$AD$72,25,FALSE),"0"))/DU56,"0")</f>
        <v>0</v>
      </c>
      <c r="DY45" t="s">
        <v>422</v>
      </c>
      <c r="EB45" t="str">
        <f>IFERROR((IFERROR(VLOOKUP(DY34,$A$34:$AD$72,25,FALSE),"0")+IFERROR(VLOOKUP(DZ34,$A$34:$AD$72,25,FALSE),"0"))/DZ56,"0")</f>
        <v>0</v>
      </c>
      <c r="ED45" t="s">
        <v>422</v>
      </c>
      <c r="EG45" t="str">
        <f>IFERROR((IFERROR(VLOOKUP(ED34,$A$34:$AD$72,25,FALSE),"0")+IFERROR(VLOOKUP(EE34,$A$34:$AD$72,25,FALSE),"0"))/EE56,"0")</f>
        <v>0</v>
      </c>
      <c r="EI45" t="s">
        <v>422</v>
      </c>
      <c r="EL45" t="str">
        <f>IFERROR((IFERROR(VLOOKUP(EI34,$A$34:$AD$72,25,FALSE),"0")+IFERROR(VLOOKUP(EJ34,$A$34:$AD$72,25,FALSE),"0"))/EJ56,"0")</f>
        <v>0</v>
      </c>
      <c r="EN45" t="s">
        <v>422</v>
      </c>
      <c r="EQ45" t="str">
        <f>IFERROR((IFERROR(VLOOKUP(EN34,$A$34:$AD$72,25,FALSE),"0")+IFERROR(VLOOKUP(EO34,$A$34:$AD$72,25,FALSE),"0"))/EO56,"0")</f>
        <v>0</v>
      </c>
      <c r="ES45" t="s">
        <v>422</v>
      </c>
      <c r="EV45" t="str">
        <f>IFERROR((IFERROR(VLOOKUP(ES34,$A$34:$AD$72,25,FALSE),"0")+IFERROR(VLOOKUP(ET34,$A$34:$AD$72,25,FALSE),"0"))/ET56,"0")</f>
        <v>0</v>
      </c>
      <c r="EX45" t="s">
        <v>422</v>
      </c>
      <c r="FA45" t="str">
        <f>IFERROR((IFERROR(VLOOKUP(EX34,$A$34:$AD$72,25,FALSE),"0")+IFERROR(VLOOKUP(EY34,$A$34:$AD$72,25,FALSE),"0"))/EY56,"0")</f>
        <v>0</v>
      </c>
      <c r="FC45" t="s">
        <v>422</v>
      </c>
      <c r="FF45" t="str">
        <f>IFERROR((IFERROR(VLOOKUP(FC34,$A$34:$AD$72,25,FALSE),"0")+IFERROR(VLOOKUP(FD34,$A$34:$AD$72,25,FALSE),"0"))/FD56,"0")</f>
        <v>0</v>
      </c>
      <c r="FH45" t="s">
        <v>422</v>
      </c>
      <c r="FK45" t="str">
        <f>IFERROR((IFERROR(VLOOKUP(FH34,$A$34:$AD$72,25,FALSE),"0")+IFERROR(VLOOKUP(FI34,$A$34:$AD$72,25,FALSE),"0"))/FI56,"0")</f>
        <v>0</v>
      </c>
      <c r="FM45" t="s">
        <v>422</v>
      </c>
      <c r="FP45" t="str">
        <f>IFERROR((IFERROR(VLOOKUP(FM34,$A$34:$AD$72,25,FALSE),"0")+IFERROR(VLOOKUP(FN34,$A$34:$AD$72,25,FALSE),"0"))/FN56,"0")</f>
        <v>0</v>
      </c>
      <c r="FR45" t="s">
        <v>422</v>
      </c>
      <c r="FU45" t="str">
        <f>IFERROR((IFERROR(VLOOKUP(FR34,$A$34:$AD$72,25,FALSE),"0")+IFERROR(VLOOKUP(FS34,$A$34:$AD$72,25,FALSE),"0"))/FS56,"0")</f>
        <v>0</v>
      </c>
      <c r="FW45" t="s">
        <v>422</v>
      </c>
      <c r="FZ45" t="str">
        <f>IFERROR((IFERROR(VLOOKUP(FW34,$A$34:$AD$72,25,FALSE),"0")+IFERROR(VLOOKUP(FX34,$A$34:$AD$72,25,FALSE),"0"))/FX56,"0")</f>
        <v>0</v>
      </c>
    </row>
    <row r="46" spans="1:182">
      <c r="A46">
        <f>N3</f>
        <v>0</v>
      </c>
      <c r="B46">
        <f>N4</f>
        <v>0</v>
      </c>
      <c r="C46">
        <f>N5</f>
        <v>0</v>
      </c>
      <c r="D46">
        <f>N6</f>
        <v>0</v>
      </c>
      <c r="E46">
        <f>N7</f>
        <v>0</v>
      </c>
      <c r="F46" s="28">
        <f>N8</f>
        <v>0</v>
      </c>
      <c r="G46">
        <f>N9</f>
        <v>0</v>
      </c>
      <c r="H46">
        <f>N10</f>
        <v>0</v>
      </c>
      <c r="I46">
        <f>N11</f>
        <v>0</v>
      </c>
      <c r="J46">
        <f>N12</f>
        <v>0</v>
      </c>
      <c r="K46" s="28">
        <f>N13</f>
        <v>0</v>
      </c>
      <c r="L46">
        <f>N14</f>
        <v>0</v>
      </c>
      <c r="M46" s="28">
        <f>N15</f>
        <v>0</v>
      </c>
      <c r="N46">
        <f>N16</f>
        <v>0</v>
      </c>
      <c r="O46" s="28">
        <f>N17</f>
        <v>0</v>
      </c>
      <c r="P46" s="28">
        <f t="shared" si="14"/>
        <v>0</v>
      </c>
      <c r="Q46" s="28">
        <f t="shared" si="9"/>
        <v>0</v>
      </c>
      <c r="R46" s="28">
        <f t="shared" si="10"/>
        <v>0</v>
      </c>
      <c r="S46" s="28">
        <f t="shared" si="11"/>
        <v>0</v>
      </c>
      <c r="T46" s="28">
        <f t="shared" si="15"/>
        <v>0</v>
      </c>
      <c r="U46">
        <f t="shared" si="16"/>
        <v>0</v>
      </c>
      <c r="V46" s="260" t="e">
        <f>N21</f>
        <v>#DIV/0!</v>
      </c>
      <c r="W46" s="260" t="e">
        <f>N22</f>
        <v>#DIV/0!</v>
      </c>
      <c r="X46">
        <f>N23</f>
        <v>0</v>
      </c>
      <c r="Y46">
        <f>N24</f>
        <v>0</v>
      </c>
      <c r="Z46" s="260" t="e">
        <f>N25</f>
        <v>#DIV/0!</v>
      </c>
      <c r="AA46" s="260" t="e">
        <f>N27</f>
        <v>#DIV/0!</v>
      </c>
      <c r="AB46" t="e">
        <f>N28</f>
        <v>#DIV/0!</v>
      </c>
      <c r="AC46">
        <f>N29</f>
        <v>0</v>
      </c>
      <c r="AD46">
        <f>N30</f>
        <v>0</v>
      </c>
      <c r="AH46" t="s">
        <v>431</v>
      </c>
      <c r="AI46">
        <f>IFERROR(VLOOKUP(AH34,$A$34:$AD$72,17,FALSE),"0")+IFERROR(VLOOKUP(AI34,$A$34:$AD$72,17,FALSE),"0")</f>
        <v>0</v>
      </c>
      <c r="AJ46" t="s">
        <v>964</v>
      </c>
      <c r="AK46">
        <f>IFERROR(AI46*AVERAGE(Ettev_kalk!$BB$55:$BB$64)/Tootep_kalk!AI56,0)</f>
        <v>0</v>
      </c>
      <c r="AM46" t="s">
        <v>431</v>
      </c>
      <c r="AN46">
        <f>IFERROR(VLOOKUP(AM34,$A$34:$AD$72,17,FALSE),"0")+IFERROR(VLOOKUP(AN34,$A$34:$AD$72,17,FALSE),"0")</f>
        <v>0</v>
      </c>
      <c r="AO46" t="s">
        <v>964</v>
      </c>
      <c r="AP46">
        <f>IFERROR(AN46*AVERAGE(Ettev_kalk!$BB$55:$BB$64)/Tootep_kalk!AN56,0)</f>
        <v>0</v>
      </c>
      <c r="AR46" t="s">
        <v>431</v>
      </c>
      <c r="AS46">
        <f>IFERROR(VLOOKUP(AR34,$A$34:$AD$72,17,FALSE),"0")+IFERROR(VLOOKUP(AS34,$A$34:$AD$72,17,FALSE),"0")</f>
        <v>0</v>
      </c>
      <c r="AT46" t="s">
        <v>964</v>
      </c>
      <c r="AU46">
        <f>IFERROR(AS46*AVERAGE(Ettev_kalk!$BB$55:$BB$64)/Tootep_kalk!AS56,0)</f>
        <v>0</v>
      </c>
      <c r="AW46" t="s">
        <v>431</v>
      </c>
      <c r="AX46">
        <f>IFERROR(VLOOKUP(AW34,$A$34:$AD$72,17,FALSE),"0")+IFERROR(VLOOKUP(AX34,$A$34:$AD$72,17,FALSE),"0")</f>
        <v>0</v>
      </c>
      <c r="AY46" t="s">
        <v>964</v>
      </c>
      <c r="AZ46">
        <f>IFERROR(AX46*AVERAGE(Ettev_kalk!$BB$55:$BB$64)/Tootep_kalk!AX56,0)</f>
        <v>0</v>
      </c>
      <c r="BB46" t="s">
        <v>431</v>
      </c>
      <c r="BC46">
        <f>IFERROR(VLOOKUP(BB34,$A$34:$AD$72,17,FALSE),"0")+IFERROR(VLOOKUP(BC34,$A$34:$AD$72,17,FALSE),"0")</f>
        <v>0</v>
      </c>
      <c r="BD46" t="s">
        <v>964</v>
      </c>
      <c r="BE46">
        <f>IFERROR(BC46*AVERAGE(Ettev_kalk!$BB$55:$BB$64)/Tootep_kalk!BC56,0)</f>
        <v>0</v>
      </c>
      <c r="BG46" t="s">
        <v>431</v>
      </c>
      <c r="BH46">
        <f>IFERROR(VLOOKUP(BG34,$A$34:$AD$72,17,FALSE),"0")+IFERROR(VLOOKUP(BH34,$A$34:$AD$72,17,FALSE),"0")</f>
        <v>0</v>
      </c>
      <c r="BI46" t="s">
        <v>964</v>
      </c>
      <c r="BJ46">
        <f>IFERROR(BH46*AVERAGE(Ettev_kalk!$BB$55:$BB$64)/Tootep_kalk!BH56,0)</f>
        <v>0</v>
      </c>
      <c r="BL46" t="s">
        <v>431</v>
      </c>
      <c r="BM46">
        <f>IFERROR(VLOOKUP(BL34,$A$34:$AD$72,17,FALSE),"0")+IFERROR(VLOOKUP(BM34,$A$34:$AD$72,17,FALSE),"0")</f>
        <v>0</v>
      </c>
      <c r="BN46" t="s">
        <v>964</v>
      </c>
      <c r="BO46">
        <f>IFERROR(BM46*AVERAGE(Ettev_kalk!$BB$55:$BB$64)/Tootep_kalk!BM56,0)</f>
        <v>0</v>
      </c>
      <c r="BQ46" t="s">
        <v>431</v>
      </c>
      <c r="BR46">
        <f>IFERROR(VLOOKUP(BQ34,$A$34:$AD$72,17,FALSE),"0")+IFERROR(VLOOKUP(BR34,$A$34:$AD$72,17,FALSE),"0")</f>
        <v>0</v>
      </c>
      <c r="BS46" t="s">
        <v>964</v>
      </c>
      <c r="BT46">
        <f>IFERROR(BR46*AVERAGE(Ettev_kalk!$BB$55:$BB$64)/Tootep_kalk!BR56,0)</f>
        <v>0</v>
      </c>
      <c r="BV46" t="s">
        <v>431</v>
      </c>
      <c r="BW46">
        <f>IFERROR(VLOOKUP(BV34,$A$34:$AD$72,17,FALSE),"0")+IFERROR(VLOOKUP(BW34,$A$34:$AD$72,17,FALSE),"0")</f>
        <v>0</v>
      </c>
      <c r="BX46" t="s">
        <v>964</v>
      </c>
      <c r="BY46">
        <f>IFERROR(BW46*AVERAGE(Ettev_kalk!$BB$55:$BB$64)/Tootep_kalk!BW56,0)</f>
        <v>0</v>
      </c>
      <c r="CA46" t="s">
        <v>431</v>
      </c>
      <c r="CB46">
        <f>IFERROR(VLOOKUP(CA34,$A$34:$AD$72,17,FALSE),"0")+IFERROR(VLOOKUP(CB34,$A$34:$AD$72,17,FALSE),"0")</f>
        <v>0</v>
      </c>
      <c r="CC46" t="s">
        <v>964</v>
      </c>
      <c r="CD46">
        <f>IFERROR(CB46*AVERAGE(Ettev_kalk!$BB$55:$BB$64)/Tootep_kalk!CB56,0)</f>
        <v>0</v>
      </c>
      <c r="CF46" t="s">
        <v>431</v>
      </c>
      <c r="CG46">
        <f>IFERROR(VLOOKUP(CF34,$A$34:$AD$72,17,FALSE),"0")+IFERROR(VLOOKUP(CG34,$A$34:$AD$72,17,FALSE),"0")</f>
        <v>0</v>
      </c>
      <c r="CH46" t="s">
        <v>964</v>
      </c>
      <c r="CI46">
        <f>IFERROR(CG46*AVERAGE(Ettev_kalk!$BB$55:$BB$64)/Tootep_kalk!CG56,0)</f>
        <v>0</v>
      </c>
      <c r="CK46" t="s">
        <v>431</v>
      </c>
      <c r="CL46">
        <f>IFERROR(VLOOKUP(CK34,$A$34:$AD$72,17,FALSE),"0")+IFERROR(VLOOKUP(CL34,$A$34:$AD$72,17,FALSE),"0")</f>
        <v>0</v>
      </c>
      <c r="CM46" t="s">
        <v>964</v>
      </c>
      <c r="CN46">
        <f>IFERROR(CL46*AVERAGE(Ettev_kalk!$BB$55:$BB$64)/Tootep_kalk!CL56,0)</f>
        <v>0</v>
      </c>
      <c r="CP46" t="s">
        <v>431</v>
      </c>
      <c r="CQ46">
        <f>IFERROR(VLOOKUP(CP34,$A$34:$AD$72,17,FALSE),"0")+IFERROR(VLOOKUP(CQ34,$A$34:$AD$72,17,FALSE),"0")</f>
        <v>0</v>
      </c>
      <c r="CR46" t="s">
        <v>964</v>
      </c>
      <c r="CS46">
        <f>IFERROR(CQ46*AVERAGE(Ettev_kalk!$BB$55:$BB$64)/Tootep_kalk!CQ56,0)</f>
        <v>0</v>
      </c>
      <c r="CU46" t="s">
        <v>431</v>
      </c>
      <c r="CV46">
        <f>IFERROR(VLOOKUP(CU34,$A$34:$AD$72,17,FALSE),"0")+IFERROR(VLOOKUP(CV34,$A$34:$AD$72,17,FALSE),"0")</f>
        <v>0</v>
      </c>
      <c r="CW46" t="s">
        <v>964</v>
      </c>
      <c r="CX46">
        <f>IFERROR(CV46*AVERAGE(Ettev_kalk!$BB$55:$BB$64)/Tootep_kalk!CV56,0)</f>
        <v>0</v>
      </c>
      <c r="CZ46" t="s">
        <v>431</v>
      </c>
      <c r="DA46">
        <f>IFERROR(VLOOKUP(CZ34,$A$34:$AD$72,17,FALSE),"0")+IFERROR(VLOOKUP(DA34,$A$34:$AD$72,17,FALSE),"0")</f>
        <v>0</v>
      </c>
      <c r="DB46" t="s">
        <v>964</v>
      </c>
      <c r="DC46">
        <f>IFERROR(DA46*AVERAGE(Ettev_kalk!$BB$55:$BB$64)/Tootep_kalk!DA56,0)</f>
        <v>0</v>
      </c>
      <c r="DE46" t="s">
        <v>431</v>
      </c>
      <c r="DF46">
        <f>IFERROR(VLOOKUP(DE34,$A$34:$AD$72,17,FALSE),"0")+IFERROR(VLOOKUP(DF34,$A$34:$AD$72,17,FALSE),"0")</f>
        <v>0</v>
      </c>
      <c r="DG46" t="s">
        <v>964</v>
      </c>
      <c r="DH46">
        <f>IFERROR(DF46*AVERAGE(Ettev_kalk!$BB$55:$BB$64)/Tootep_kalk!DF56,0)</f>
        <v>0</v>
      </c>
      <c r="DJ46" t="s">
        <v>431</v>
      </c>
      <c r="DK46">
        <f>IFERROR(VLOOKUP(DJ34,$A$34:$AD$72,17,FALSE),"0")+IFERROR(VLOOKUP(DK34,$A$34:$AD$72,17,FALSE),"0")</f>
        <v>0</v>
      </c>
      <c r="DL46" t="s">
        <v>964</v>
      </c>
      <c r="DM46">
        <f>IFERROR(DK46*AVERAGE(Ettev_kalk!$BB$55:$BB$64)/Tootep_kalk!DK56,0)</f>
        <v>0</v>
      </c>
      <c r="DO46" t="s">
        <v>431</v>
      </c>
      <c r="DP46">
        <f>IFERROR(VLOOKUP(DO34,$A$34:$AD$72,17,FALSE),"0")+IFERROR(VLOOKUP(DP34,$A$34:$AD$72,17,FALSE),"0")</f>
        <v>0</v>
      </c>
      <c r="DQ46" t="s">
        <v>964</v>
      </c>
      <c r="DR46">
        <f>IFERROR(DP46*AVERAGE(Ettev_kalk!$BB$55:$BB$64)/Tootep_kalk!DP56,0)</f>
        <v>0</v>
      </c>
      <c r="DT46" t="s">
        <v>431</v>
      </c>
      <c r="DU46">
        <f>IFERROR(VLOOKUP(DT34,$A$34:$AD$72,17,FALSE),"0")+IFERROR(VLOOKUP(DU34,$A$34:$AD$72,17,FALSE),"0")</f>
        <v>0</v>
      </c>
      <c r="DV46" t="s">
        <v>964</v>
      </c>
      <c r="DW46">
        <f>IFERROR(DU46*AVERAGE(Ettev_kalk!$BB$55:$BB$64)/Tootep_kalk!DU56,0)</f>
        <v>0</v>
      </c>
      <c r="DY46" t="s">
        <v>431</v>
      </c>
      <c r="DZ46">
        <f>IFERROR(VLOOKUP(DY34,$A$34:$AD$72,17,FALSE),"0")+IFERROR(VLOOKUP(DZ34,$A$34:$AD$72,17,FALSE),"0")</f>
        <v>0</v>
      </c>
      <c r="EA46" t="s">
        <v>964</v>
      </c>
      <c r="EB46">
        <f>IFERROR(DZ46*AVERAGE(Ettev_kalk!$BB$55:$BB$64)/Tootep_kalk!DZ56,0)</f>
        <v>0</v>
      </c>
      <c r="ED46" t="s">
        <v>431</v>
      </c>
      <c r="EE46">
        <f>IFERROR(VLOOKUP(ED34,$A$34:$AD$72,17,FALSE),"0")+IFERROR(VLOOKUP(EE34,$A$34:$AD$72,17,FALSE),"0")</f>
        <v>0</v>
      </c>
      <c r="EF46" t="s">
        <v>964</v>
      </c>
      <c r="EG46">
        <f>IFERROR(EE46*AVERAGE(Ettev_kalk!$BB$55:$BB$64)/Tootep_kalk!EE56,0)</f>
        <v>0</v>
      </c>
      <c r="EI46" t="s">
        <v>431</v>
      </c>
      <c r="EJ46">
        <f>IFERROR(VLOOKUP(EI34,$A$34:$AD$72,17,FALSE),"0")+IFERROR(VLOOKUP(EJ34,$A$34:$AD$72,17,FALSE),"0")</f>
        <v>0</v>
      </c>
      <c r="EK46" t="s">
        <v>964</v>
      </c>
      <c r="EL46">
        <f>IFERROR(EJ46*AVERAGE(Ettev_kalk!$BB$55:$BB$64)/Tootep_kalk!EJ56,0)</f>
        <v>0</v>
      </c>
      <c r="EN46" t="s">
        <v>431</v>
      </c>
      <c r="EO46">
        <f>IFERROR(VLOOKUP(EN34,$A$34:$AD$72,17,FALSE),"0")+IFERROR(VLOOKUP(EO34,$A$34:$AD$72,17,FALSE),"0")</f>
        <v>0</v>
      </c>
      <c r="EP46" t="s">
        <v>964</v>
      </c>
      <c r="EQ46">
        <f>IFERROR(EO46*AVERAGE(Ettev_kalk!$BB$55:$BB$64)/Tootep_kalk!EO56,0)</f>
        <v>0</v>
      </c>
      <c r="ES46" t="s">
        <v>431</v>
      </c>
      <c r="ET46">
        <f>IFERROR(VLOOKUP(ES34,$A$34:$AD$72,17,FALSE),"0")+IFERROR(VLOOKUP(ET34,$A$34:$AD$72,17,FALSE),"0")</f>
        <v>0</v>
      </c>
      <c r="EU46" t="s">
        <v>964</v>
      </c>
      <c r="EV46">
        <f>IFERROR(ET46*AVERAGE(Ettev_kalk!$BB$55:$BB$64)/Tootep_kalk!ET56,0)</f>
        <v>0</v>
      </c>
      <c r="EX46" t="s">
        <v>431</v>
      </c>
      <c r="EY46">
        <f>IFERROR(VLOOKUP(EX34,$A$34:$AD$72,17,FALSE),"0")+IFERROR(VLOOKUP(EY34,$A$34:$AD$72,17,FALSE),"0")</f>
        <v>0</v>
      </c>
      <c r="EZ46" t="s">
        <v>964</v>
      </c>
      <c r="FA46">
        <f>IFERROR(EY46*AVERAGE(Ettev_kalk!$BB$55:$BB$64)/Tootep_kalk!EY56,0)</f>
        <v>0</v>
      </c>
      <c r="FC46" t="s">
        <v>431</v>
      </c>
      <c r="FD46">
        <f>IFERROR(VLOOKUP(FC34,$A$34:$AD$72,17,FALSE),"0")+IFERROR(VLOOKUP(FD34,$A$34:$AD$72,17,FALSE),"0")</f>
        <v>0</v>
      </c>
      <c r="FE46" t="s">
        <v>964</v>
      </c>
      <c r="FF46">
        <f>IFERROR(FD46*AVERAGE(Ettev_kalk!$BB$55:$BB$64)/Tootep_kalk!FD56,0)</f>
        <v>0</v>
      </c>
      <c r="FH46" t="s">
        <v>431</v>
      </c>
      <c r="FI46">
        <f>IFERROR(VLOOKUP(FH34,$A$34:$AD$72,17,FALSE),"0")+IFERROR(VLOOKUP(FI34,$A$34:$AD$72,17,FALSE),"0")</f>
        <v>0</v>
      </c>
      <c r="FJ46" t="s">
        <v>964</v>
      </c>
      <c r="FK46">
        <f>IFERROR(FI46*AVERAGE(Ettev_kalk!$BB$55:$BB$64)/Tootep_kalk!FI56,0)</f>
        <v>0</v>
      </c>
      <c r="FM46" t="s">
        <v>431</v>
      </c>
      <c r="FN46">
        <f>IFERROR(VLOOKUP(FM34,$A$34:$AD$72,17,FALSE),"0")+IFERROR(VLOOKUP(FN34,$A$34:$AD$72,17,FALSE),"0")</f>
        <v>0</v>
      </c>
      <c r="FO46" t="s">
        <v>964</v>
      </c>
      <c r="FP46">
        <f>IFERROR(FN46*AVERAGE(Ettev_kalk!$BB$55:$BB$64)/Tootep_kalk!FN56,0)</f>
        <v>0</v>
      </c>
      <c r="FR46" t="s">
        <v>431</v>
      </c>
      <c r="FS46">
        <f>IFERROR(VLOOKUP(FR34,$A$34:$AD$72,17,FALSE),"0")+IFERROR(VLOOKUP(FS34,$A$34:$AD$72,17,FALSE),"0")</f>
        <v>0</v>
      </c>
      <c r="FT46" t="s">
        <v>964</v>
      </c>
      <c r="FU46">
        <f>IFERROR(FS46*AVERAGE(Ettev_kalk!$BB$55:$BB$64)/Tootep_kalk!FS56,0)</f>
        <v>0</v>
      </c>
      <c r="FW46" t="s">
        <v>431</v>
      </c>
      <c r="FX46">
        <f>IFERROR(VLOOKUP(FW34,$A$34:$AD$72,17,FALSE),"0")+IFERROR(VLOOKUP(FX34,$A$34:$AD$72,17,FALSE),"0")</f>
        <v>0</v>
      </c>
      <c r="FY46" t="s">
        <v>964</v>
      </c>
      <c r="FZ46">
        <f>IFERROR(FX46*AVERAGE(Ettev_kalk!$BB$55:$BB$64)/Tootep_kalk!FX56,0)</f>
        <v>0</v>
      </c>
    </row>
    <row r="47" spans="1:182">
      <c r="A47">
        <f>O3</f>
        <v>0</v>
      </c>
      <c r="B47">
        <f>O4</f>
        <v>0</v>
      </c>
      <c r="C47">
        <f>O5</f>
        <v>0</v>
      </c>
      <c r="D47">
        <f>O6</f>
        <v>0</v>
      </c>
      <c r="E47">
        <f>O7</f>
        <v>0</v>
      </c>
      <c r="F47" s="28">
        <f>O8</f>
        <v>0</v>
      </c>
      <c r="G47">
        <f>O9</f>
        <v>0</v>
      </c>
      <c r="H47">
        <f>O10</f>
        <v>0</v>
      </c>
      <c r="I47">
        <f>O11</f>
        <v>0</v>
      </c>
      <c r="J47">
        <f>O12</f>
        <v>0</v>
      </c>
      <c r="K47" s="28">
        <f>O13</f>
        <v>0</v>
      </c>
      <c r="L47">
        <f>O14</f>
        <v>0</v>
      </c>
      <c r="M47" s="28">
        <f>O15</f>
        <v>0</v>
      </c>
      <c r="N47">
        <f>O16</f>
        <v>0</v>
      </c>
      <c r="O47" s="28">
        <f>O17</f>
        <v>0</v>
      </c>
      <c r="P47" s="28">
        <f t="shared" si="14"/>
        <v>0</v>
      </c>
      <c r="Q47" s="28">
        <f t="shared" si="9"/>
        <v>0</v>
      </c>
      <c r="R47" s="28">
        <f t="shared" si="10"/>
        <v>0</v>
      </c>
      <c r="S47" s="28">
        <f t="shared" si="11"/>
        <v>0</v>
      </c>
      <c r="T47" s="28">
        <f t="shared" si="15"/>
        <v>0</v>
      </c>
      <c r="U47">
        <f t="shared" si="16"/>
        <v>0</v>
      </c>
      <c r="V47" s="260" t="e">
        <f>O21</f>
        <v>#DIV/0!</v>
      </c>
      <c r="W47" s="260" t="e">
        <f>O22</f>
        <v>#DIV/0!</v>
      </c>
      <c r="X47">
        <f>O23</f>
        <v>0</v>
      </c>
      <c r="Y47">
        <f>O24</f>
        <v>0</v>
      </c>
      <c r="Z47" s="260" t="e">
        <f>O25</f>
        <v>#DIV/0!</v>
      </c>
      <c r="AA47" s="260" t="e">
        <f>O27</f>
        <v>#DIV/0!</v>
      </c>
      <c r="AB47" t="e">
        <f>O28</f>
        <v>#DIV/0!</v>
      </c>
      <c r="AC47">
        <f>O29</f>
        <v>0</v>
      </c>
      <c r="AD47">
        <f>O30</f>
        <v>0</v>
      </c>
      <c r="AH47" t="s">
        <v>433</v>
      </c>
      <c r="AI47">
        <f>IFERROR(VLOOKUP(AH34,$A$34:$AD$72,18,FALSE),"0")+IFERROR(VLOOKUP(AI34,$A$34:$AD$72,18,FALSE),"0")</f>
        <v>0</v>
      </c>
      <c r="AJ47" t="s">
        <v>964</v>
      </c>
      <c r="AK47">
        <f>IFERROR(AI47*AVERAGE(Ettev_kalk!$BB$81:$BB$90)/Tootep_kalk!AI56,0)</f>
        <v>0</v>
      </c>
      <c r="AM47" t="s">
        <v>433</v>
      </c>
      <c r="AN47">
        <f>IFERROR(VLOOKUP(AM34,$A$34:$AD$72,18,FALSE),"0")+IFERROR(VLOOKUP(AN34,$A$34:$AD$72,18,FALSE),"0")</f>
        <v>0</v>
      </c>
      <c r="AO47" t="s">
        <v>964</v>
      </c>
      <c r="AP47">
        <f>IFERROR(AN47*AVERAGE(Ettev_kalk!$BB$81:$BB$90)/Tootep_kalk!AN56,0)</f>
        <v>0</v>
      </c>
      <c r="AR47" t="s">
        <v>433</v>
      </c>
      <c r="AS47">
        <f>IFERROR(VLOOKUP(AR34,$A$34:$AD$72,18,FALSE),"0")+IFERROR(VLOOKUP(AS34,$A$34:$AD$72,18,FALSE),"0")</f>
        <v>0</v>
      </c>
      <c r="AT47" t="s">
        <v>964</v>
      </c>
      <c r="AU47">
        <f>IFERROR(AS47*AVERAGE(Ettev_kalk!$BB$81:$BB$90)/Tootep_kalk!AS56,0)</f>
        <v>0</v>
      </c>
      <c r="AW47" t="s">
        <v>433</v>
      </c>
      <c r="AX47">
        <f>IFERROR(VLOOKUP(AW34,$A$34:$AD$72,18,FALSE),"0")+IFERROR(VLOOKUP(AX34,$A$34:$AD$72,18,FALSE),"0")</f>
        <v>0</v>
      </c>
      <c r="AY47" t="s">
        <v>964</v>
      </c>
      <c r="AZ47">
        <f>IFERROR(AX47*AVERAGE(Ettev_kalk!$BB$81:$BB$90)/Tootep_kalk!AX56,0)</f>
        <v>0</v>
      </c>
      <c r="BB47" t="s">
        <v>433</v>
      </c>
      <c r="BC47">
        <f>IFERROR(VLOOKUP(BB34,$A$34:$AD$72,18,FALSE),"0")+IFERROR(VLOOKUP(BC34,$A$34:$AD$72,18,FALSE),"0")</f>
        <v>0</v>
      </c>
      <c r="BD47" t="s">
        <v>964</v>
      </c>
      <c r="BE47">
        <f>IFERROR(BC47*AVERAGE(Ettev_kalk!$BB$81:$BB$90)/Tootep_kalk!BC56,0)</f>
        <v>0</v>
      </c>
      <c r="BG47" t="s">
        <v>433</v>
      </c>
      <c r="BH47">
        <f>IFERROR(VLOOKUP(BG34,$A$34:$AD$72,18,FALSE),"0")+IFERROR(VLOOKUP(BH34,$A$34:$AD$72,18,FALSE),"0")</f>
        <v>0</v>
      </c>
      <c r="BI47" t="s">
        <v>964</v>
      </c>
      <c r="BJ47">
        <f>IFERROR(BH47*AVERAGE(Ettev_kalk!$BB$81:$BB$90)/Tootep_kalk!BH56,0)</f>
        <v>0</v>
      </c>
      <c r="BL47" t="s">
        <v>433</v>
      </c>
      <c r="BM47">
        <f>IFERROR(VLOOKUP(BL34,$A$34:$AD$72,18,FALSE),"0")+IFERROR(VLOOKUP(BM34,$A$34:$AD$72,18,FALSE),"0")</f>
        <v>0</v>
      </c>
      <c r="BN47" t="s">
        <v>964</v>
      </c>
      <c r="BO47">
        <f>IFERROR(BM47*AVERAGE(Ettev_kalk!$BB$81:$BB$90)/Tootep_kalk!BM56,0)</f>
        <v>0</v>
      </c>
      <c r="BQ47" t="s">
        <v>433</v>
      </c>
      <c r="BR47">
        <f>IFERROR(VLOOKUP(BQ34,$A$34:$AD$72,18,FALSE),"0")+IFERROR(VLOOKUP(BR34,$A$34:$AD$72,18,FALSE),"0")</f>
        <v>0</v>
      </c>
      <c r="BS47" t="s">
        <v>964</v>
      </c>
      <c r="BT47">
        <f>IFERROR(BR47*AVERAGE(Ettev_kalk!$BB$81:$BB$90)/Tootep_kalk!BR56,0)</f>
        <v>0</v>
      </c>
      <c r="BV47" t="s">
        <v>433</v>
      </c>
      <c r="BW47">
        <f>IFERROR(VLOOKUP(BV34,$A$34:$AD$72,18,FALSE),"0")+IFERROR(VLOOKUP(BW34,$A$34:$AD$72,18,FALSE),"0")</f>
        <v>0</v>
      </c>
      <c r="BX47" t="s">
        <v>964</v>
      </c>
      <c r="BY47">
        <f>IFERROR(BW47*AVERAGE(Ettev_kalk!$BB$81:$BB$90)/Tootep_kalk!BW56,0)</f>
        <v>0</v>
      </c>
      <c r="CA47" t="s">
        <v>433</v>
      </c>
      <c r="CB47">
        <f>IFERROR(VLOOKUP(CA34,$A$34:$AD$72,18,FALSE),"0")+IFERROR(VLOOKUP(CB34,$A$34:$AD$72,18,FALSE),"0")</f>
        <v>0</v>
      </c>
      <c r="CC47" t="s">
        <v>964</v>
      </c>
      <c r="CD47">
        <f>IFERROR(CB47*AVERAGE(Ettev_kalk!$BB$81:$BB$90)/Tootep_kalk!CB56,0)</f>
        <v>0</v>
      </c>
      <c r="CF47" t="s">
        <v>433</v>
      </c>
      <c r="CG47">
        <f>IFERROR(VLOOKUP(CF34,$A$34:$AD$72,18,FALSE),"0")+IFERROR(VLOOKUP(CG34,$A$34:$AD$72,18,FALSE),"0")</f>
        <v>0</v>
      </c>
      <c r="CH47" t="s">
        <v>964</v>
      </c>
      <c r="CI47">
        <f>IFERROR(CG47*AVERAGE(Ettev_kalk!$BB$81:$BB$90)/Tootep_kalk!CG56,0)</f>
        <v>0</v>
      </c>
      <c r="CK47" t="s">
        <v>433</v>
      </c>
      <c r="CL47">
        <f>IFERROR(VLOOKUP(CK34,$A$34:$AD$72,18,FALSE),"0")+IFERROR(VLOOKUP(CL34,$A$34:$AD$72,18,FALSE),"0")</f>
        <v>0</v>
      </c>
      <c r="CM47" t="s">
        <v>964</v>
      </c>
      <c r="CN47">
        <f>IFERROR(CL47*AVERAGE(Ettev_kalk!$BB$81:$BB$90)/Tootep_kalk!CL56,0)</f>
        <v>0</v>
      </c>
      <c r="CP47" t="s">
        <v>433</v>
      </c>
      <c r="CQ47">
        <f>IFERROR(VLOOKUP(CP34,$A$34:$AD$72,18,FALSE),"0")+IFERROR(VLOOKUP(CQ34,$A$34:$AD$72,18,FALSE),"0")</f>
        <v>0</v>
      </c>
      <c r="CR47" t="s">
        <v>964</v>
      </c>
      <c r="CS47">
        <f>IFERROR(CQ47*AVERAGE(Ettev_kalk!$BB$81:$BB$90)/Tootep_kalk!CQ56,0)</f>
        <v>0</v>
      </c>
      <c r="CU47" t="s">
        <v>433</v>
      </c>
      <c r="CV47">
        <f>IFERROR(VLOOKUP(CU34,$A$34:$AD$72,18,FALSE),"0")+IFERROR(VLOOKUP(CV34,$A$34:$AD$72,18,FALSE),"0")</f>
        <v>0</v>
      </c>
      <c r="CW47" t="s">
        <v>964</v>
      </c>
      <c r="CX47">
        <f>IFERROR(CV47*AVERAGE(Ettev_kalk!$BB$81:$BB$90)/Tootep_kalk!CV56,0)</f>
        <v>0</v>
      </c>
      <c r="CZ47" t="s">
        <v>433</v>
      </c>
      <c r="DA47">
        <f>IFERROR(VLOOKUP(CZ34,$A$34:$AD$72,18,FALSE),"0")+IFERROR(VLOOKUP(DA34,$A$34:$AD$72,18,FALSE),"0")</f>
        <v>0</v>
      </c>
      <c r="DB47" t="s">
        <v>964</v>
      </c>
      <c r="DC47">
        <f>IFERROR(DA47*AVERAGE(Ettev_kalk!$BB$81:$BB$90)/Tootep_kalk!DA56,0)</f>
        <v>0</v>
      </c>
      <c r="DE47" t="s">
        <v>433</v>
      </c>
      <c r="DF47">
        <f>IFERROR(VLOOKUP(DE34,$A$34:$AD$72,18,FALSE),"0")+IFERROR(VLOOKUP(DF34,$A$34:$AD$72,18,FALSE),"0")</f>
        <v>0</v>
      </c>
      <c r="DG47" t="s">
        <v>964</v>
      </c>
      <c r="DH47">
        <f>IFERROR(DF47*AVERAGE(Ettev_kalk!$BB$81:$BB$90)/Tootep_kalk!DF56,0)</f>
        <v>0</v>
      </c>
      <c r="DJ47" t="s">
        <v>433</v>
      </c>
      <c r="DK47">
        <f>IFERROR(VLOOKUP(DJ34,$A$34:$AD$72,18,FALSE),"0")+IFERROR(VLOOKUP(DK34,$A$34:$AD$72,18,FALSE),"0")</f>
        <v>0</v>
      </c>
      <c r="DL47" t="s">
        <v>964</v>
      </c>
      <c r="DM47">
        <f>IFERROR(DK47*AVERAGE(Ettev_kalk!$BB$81:$BB$90)/Tootep_kalk!DK56,0)</f>
        <v>0</v>
      </c>
      <c r="DO47" t="s">
        <v>433</v>
      </c>
      <c r="DP47">
        <f>IFERROR(VLOOKUP(DO34,$A$34:$AD$72,18,FALSE),"0")+IFERROR(VLOOKUP(DP34,$A$34:$AD$72,18,FALSE),"0")</f>
        <v>0</v>
      </c>
      <c r="DQ47" t="s">
        <v>964</v>
      </c>
      <c r="DR47">
        <f>IFERROR(DP47*AVERAGE(Ettev_kalk!$BB$81:$BB$90)/Tootep_kalk!DP56,0)</f>
        <v>0</v>
      </c>
      <c r="DT47" t="s">
        <v>433</v>
      </c>
      <c r="DU47">
        <f>IFERROR(VLOOKUP(DT34,$A$34:$AD$72,18,FALSE),"0")+IFERROR(VLOOKUP(DU34,$A$34:$AD$72,18,FALSE),"0")</f>
        <v>0</v>
      </c>
      <c r="DV47" t="s">
        <v>964</v>
      </c>
      <c r="DW47">
        <f>IFERROR(DU47*AVERAGE(Ettev_kalk!$BB$81:$BB$90)/Tootep_kalk!DU56,0)</f>
        <v>0</v>
      </c>
      <c r="DY47" t="s">
        <v>433</v>
      </c>
      <c r="DZ47">
        <f>IFERROR(VLOOKUP(DY34,$A$34:$AD$72,18,FALSE),"0")+IFERROR(VLOOKUP(DZ34,$A$34:$AD$72,18,FALSE),"0")</f>
        <v>0</v>
      </c>
      <c r="EA47" t="s">
        <v>964</v>
      </c>
      <c r="EB47">
        <f>IFERROR(DZ47*AVERAGE(Ettev_kalk!$BB$81:$BB$90)/Tootep_kalk!DZ56,0)</f>
        <v>0</v>
      </c>
      <c r="ED47" t="s">
        <v>433</v>
      </c>
      <c r="EE47">
        <f>IFERROR(VLOOKUP(ED34,$A$34:$AD$72,18,FALSE),"0")+IFERROR(VLOOKUP(EE34,$A$34:$AD$72,18,FALSE),"0")</f>
        <v>0</v>
      </c>
      <c r="EF47" t="s">
        <v>964</v>
      </c>
      <c r="EG47">
        <f>IFERROR(EE47*AVERAGE(Ettev_kalk!$BB$81:$BB$90)/Tootep_kalk!EE56,0)</f>
        <v>0</v>
      </c>
      <c r="EI47" t="s">
        <v>433</v>
      </c>
      <c r="EJ47">
        <f>IFERROR(VLOOKUP(EI34,$A$34:$AD$72,18,FALSE),"0")+IFERROR(VLOOKUP(EJ34,$A$34:$AD$72,18,FALSE),"0")</f>
        <v>0</v>
      </c>
      <c r="EK47" t="s">
        <v>964</v>
      </c>
      <c r="EL47">
        <f>IFERROR(EJ47*AVERAGE(Ettev_kalk!$BB$81:$BB$90)/Tootep_kalk!EJ56,0)</f>
        <v>0</v>
      </c>
      <c r="EN47" t="s">
        <v>433</v>
      </c>
      <c r="EO47">
        <f>IFERROR(VLOOKUP(EN34,$A$34:$AD$72,18,FALSE),"0")+IFERROR(VLOOKUP(EO34,$A$34:$AD$72,18,FALSE),"0")</f>
        <v>0</v>
      </c>
      <c r="EP47" t="s">
        <v>964</v>
      </c>
      <c r="EQ47">
        <f>IFERROR(EO47*AVERAGE(Ettev_kalk!$BB$81:$BB$90)/Tootep_kalk!EO56,0)</f>
        <v>0</v>
      </c>
      <c r="ES47" t="s">
        <v>433</v>
      </c>
      <c r="ET47">
        <f>IFERROR(VLOOKUP(ES34,$A$34:$AD$72,18,FALSE),"0")+IFERROR(VLOOKUP(ET34,$A$34:$AD$72,18,FALSE),"0")</f>
        <v>0</v>
      </c>
      <c r="EU47" t="s">
        <v>964</v>
      </c>
      <c r="EV47">
        <f>IFERROR(ET47*AVERAGE(Ettev_kalk!$BB$81:$BB$90)/Tootep_kalk!ET56,0)</f>
        <v>0</v>
      </c>
      <c r="EX47" t="s">
        <v>433</v>
      </c>
      <c r="EY47">
        <f>IFERROR(VLOOKUP(EX34,$A$34:$AD$72,18,FALSE),"0")+IFERROR(VLOOKUP(EY34,$A$34:$AD$72,18,FALSE),"0")</f>
        <v>0</v>
      </c>
      <c r="EZ47" t="s">
        <v>964</v>
      </c>
      <c r="FA47">
        <f>IFERROR(EY47*AVERAGE(Ettev_kalk!$BB$81:$BB$90)/Tootep_kalk!EY56,0)</f>
        <v>0</v>
      </c>
      <c r="FC47" t="s">
        <v>433</v>
      </c>
      <c r="FD47">
        <f>IFERROR(VLOOKUP(FC34,$A$34:$AD$72,18,FALSE),"0")+IFERROR(VLOOKUP(FD34,$A$34:$AD$72,18,FALSE),"0")</f>
        <v>0</v>
      </c>
      <c r="FE47" t="s">
        <v>964</v>
      </c>
      <c r="FF47">
        <f>IFERROR(FD47*AVERAGE(Ettev_kalk!$BB$81:$BB$90)/Tootep_kalk!FD56,0)</f>
        <v>0</v>
      </c>
      <c r="FH47" t="s">
        <v>433</v>
      </c>
      <c r="FI47">
        <f>IFERROR(VLOOKUP(FH34,$A$34:$AD$72,18,FALSE),"0")+IFERROR(VLOOKUP(FI34,$A$34:$AD$72,18,FALSE),"0")</f>
        <v>0</v>
      </c>
      <c r="FJ47" t="s">
        <v>964</v>
      </c>
      <c r="FK47">
        <f>IFERROR(FI47*AVERAGE(Ettev_kalk!$BB$81:$BB$90)/Tootep_kalk!FI56,0)</f>
        <v>0</v>
      </c>
      <c r="FM47" t="s">
        <v>433</v>
      </c>
      <c r="FN47">
        <f>IFERROR(VLOOKUP(FM34,$A$34:$AD$72,18,FALSE),"0")+IFERROR(VLOOKUP(FN34,$A$34:$AD$72,18,FALSE),"0")</f>
        <v>0</v>
      </c>
      <c r="FO47" t="s">
        <v>964</v>
      </c>
      <c r="FP47">
        <f>IFERROR(FN47*AVERAGE(Ettev_kalk!$BB$81:$BB$90)/Tootep_kalk!FN56,0)</f>
        <v>0</v>
      </c>
      <c r="FR47" t="s">
        <v>433</v>
      </c>
      <c r="FS47">
        <f>IFERROR(VLOOKUP(FR34,$A$34:$AD$72,18,FALSE),"0")+IFERROR(VLOOKUP(FS34,$A$34:$AD$72,18,FALSE),"0")</f>
        <v>0</v>
      </c>
      <c r="FT47" t="s">
        <v>964</v>
      </c>
      <c r="FU47">
        <f>IFERROR(FS47*AVERAGE(Ettev_kalk!$BB$81:$BB$90)/Tootep_kalk!FS56,0)</f>
        <v>0</v>
      </c>
      <c r="FW47" t="s">
        <v>433</v>
      </c>
      <c r="FX47">
        <f>IFERROR(VLOOKUP(FW34,$A$34:$AD$72,18,FALSE),"0")+IFERROR(VLOOKUP(FX34,$A$34:$AD$72,18,FALSE),"0")</f>
        <v>0</v>
      </c>
      <c r="FY47" t="s">
        <v>964</v>
      </c>
      <c r="FZ47">
        <f>IFERROR(FX47*AVERAGE(Ettev_kalk!$BB$81:$BB$90)/Tootep_kalk!FX56,0)</f>
        <v>0</v>
      </c>
    </row>
    <row r="48" spans="1:182">
      <c r="A48">
        <f>P3</f>
        <v>0</v>
      </c>
      <c r="B48">
        <f>P4</f>
        <v>0</v>
      </c>
      <c r="C48">
        <f>P5</f>
        <v>0</v>
      </c>
      <c r="D48">
        <f>P6</f>
        <v>0</v>
      </c>
      <c r="E48">
        <f>P7</f>
        <v>0</v>
      </c>
      <c r="F48" s="28">
        <f>P8</f>
        <v>0</v>
      </c>
      <c r="G48">
        <f>P9</f>
        <v>0</v>
      </c>
      <c r="H48">
        <f>P10</f>
        <v>0</v>
      </c>
      <c r="I48">
        <f>P11</f>
        <v>0</v>
      </c>
      <c r="J48">
        <f>P12</f>
        <v>0</v>
      </c>
      <c r="K48" s="28">
        <f>P13</f>
        <v>0</v>
      </c>
      <c r="L48">
        <f>P14</f>
        <v>0</v>
      </c>
      <c r="M48" s="28">
        <f>P15</f>
        <v>0</v>
      </c>
      <c r="N48">
        <f>P16</f>
        <v>0</v>
      </c>
      <c r="O48" s="28">
        <f>P17</f>
        <v>0</v>
      </c>
      <c r="P48" s="28">
        <f t="shared" si="14"/>
        <v>0</v>
      </c>
      <c r="Q48" s="28">
        <f t="shared" si="9"/>
        <v>0</v>
      </c>
      <c r="R48" s="28">
        <f t="shared" si="10"/>
        <v>0</v>
      </c>
      <c r="S48" s="28">
        <f t="shared" si="11"/>
        <v>0</v>
      </c>
      <c r="T48" s="28">
        <f t="shared" si="15"/>
        <v>0</v>
      </c>
      <c r="U48">
        <f t="shared" si="16"/>
        <v>0</v>
      </c>
      <c r="V48" s="260" t="e">
        <f>P21</f>
        <v>#DIV/0!</v>
      </c>
      <c r="W48" s="260" t="e">
        <f>P22</f>
        <v>#DIV/0!</v>
      </c>
      <c r="X48">
        <f>P23</f>
        <v>0</v>
      </c>
      <c r="Y48">
        <f>P24</f>
        <v>0</v>
      </c>
      <c r="Z48" s="260" t="e">
        <f>P25</f>
        <v>#DIV/0!</v>
      </c>
      <c r="AA48" s="260" t="e">
        <f>P27</f>
        <v>#DIV/0!</v>
      </c>
      <c r="AB48" t="e">
        <f>P28</f>
        <v>#DIV/0!</v>
      </c>
      <c r="AC48">
        <f>P29</f>
        <v>0</v>
      </c>
      <c r="AD48">
        <f>P30</f>
        <v>0</v>
      </c>
      <c r="AH48" t="s">
        <v>996</v>
      </c>
      <c r="AI48">
        <f>IFERROR(VLOOKUP(AI34,$A$34:$AD$72,19,FALSE),"0")+IFERROR(VLOOKUP(AH34,$A$34:$AD$72,19,FALSE),"0")</f>
        <v>0</v>
      </c>
      <c r="AJ48" t="s">
        <v>964</v>
      </c>
      <c r="AK48">
        <f>IFERROR(AI48*AVERAGE(Ettev_kalk!$BB$70:$BB$75)/Tootep_kalk!AI56,0)</f>
        <v>0</v>
      </c>
      <c r="AM48" t="s">
        <v>996</v>
      </c>
      <c r="AN48">
        <f>IFERROR(VLOOKUP(AN34,$A$34:$AD$72,19,FALSE),"0")+IFERROR(VLOOKUP(AM34,$A$34:$AD$72,19,FALSE),"0")</f>
        <v>0</v>
      </c>
      <c r="AO48" t="s">
        <v>964</v>
      </c>
      <c r="AP48">
        <f>IFERROR(AN48*AVERAGE(Ettev_kalk!$BB$70:$BB$75)/Tootep_kalk!AN56,0)</f>
        <v>0</v>
      </c>
      <c r="AR48" t="s">
        <v>996</v>
      </c>
      <c r="AS48">
        <f>IFERROR(VLOOKUP(AS34,$A$34:$AD$72,19,FALSE),"0")+IFERROR(VLOOKUP(AR34,$A$34:$AD$72,19,FALSE),"0")</f>
        <v>0</v>
      </c>
      <c r="AT48" t="s">
        <v>964</v>
      </c>
      <c r="AU48">
        <f>IFERROR(AS48*AVERAGE(Ettev_kalk!$BB$70:$BB$75)/Tootep_kalk!AS56,0)</f>
        <v>0</v>
      </c>
      <c r="AW48" t="s">
        <v>996</v>
      </c>
      <c r="AX48">
        <f>IFERROR(VLOOKUP(AX34,$A$34:$AD$72,19,FALSE),"0")+IFERROR(VLOOKUP(AW34,$A$34:$AD$72,19,FALSE),"0")</f>
        <v>0</v>
      </c>
      <c r="AY48" t="s">
        <v>964</v>
      </c>
      <c r="AZ48">
        <f>IFERROR(AX48*AVERAGE(Ettev_kalk!$BB$70:$BB$75)/Tootep_kalk!AX56,0)</f>
        <v>0</v>
      </c>
      <c r="BB48" t="s">
        <v>996</v>
      </c>
      <c r="BC48">
        <f>IFERROR(VLOOKUP(BC34,$A$34:$AD$72,19,FALSE),"0")+IFERROR(VLOOKUP(BB34,$A$34:$AD$72,19,FALSE),"0")</f>
        <v>0</v>
      </c>
      <c r="BD48" t="s">
        <v>964</v>
      </c>
      <c r="BE48">
        <f>IFERROR(BC48*AVERAGE(Ettev_kalk!$BB$70:$BB$75)/Tootep_kalk!BC56,0)</f>
        <v>0</v>
      </c>
      <c r="BG48" t="s">
        <v>996</v>
      </c>
      <c r="BH48">
        <f>IFERROR(VLOOKUP(BH34,$A$34:$AD$72,19,FALSE),"0")+IFERROR(VLOOKUP(BG34,$A$34:$AD$72,19,FALSE),"0")</f>
        <v>0</v>
      </c>
      <c r="BI48" t="s">
        <v>964</v>
      </c>
      <c r="BJ48">
        <f>IFERROR(BH48*AVERAGE(Ettev_kalk!$BB$70:$BB$75)/Tootep_kalk!BH56,0)</f>
        <v>0</v>
      </c>
      <c r="BL48" t="s">
        <v>996</v>
      </c>
      <c r="BM48">
        <f>IFERROR(VLOOKUP(BM34,$A$34:$AD$72,19,FALSE),"0")+IFERROR(VLOOKUP(BL34,$A$34:$AD$72,19,FALSE),"0")</f>
        <v>0</v>
      </c>
      <c r="BN48" t="s">
        <v>964</v>
      </c>
      <c r="BO48">
        <f>IFERROR(BM48*AVERAGE(Ettev_kalk!$BB$70:$BB$75)/Tootep_kalk!BM56,0)</f>
        <v>0</v>
      </c>
      <c r="BQ48" t="s">
        <v>996</v>
      </c>
      <c r="BR48">
        <f>IFERROR(VLOOKUP(BR34,$A$34:$AD$72,19,FALSE),"0")+IFERROR(VLOOKUP(BQ34,$A$34:$AD$72,19,FALSE),"0")</f>
        <v>0</v>
      </c>
      <c r="BS48" t="s">
        <v>964</v>
      </c>
      <c r="BT48">
        <f>IFERROR(BR48*AVERAGE(Ettev_kalk!$BB$70:$BB$75)/Tootep_kalk!BR56,0)</f>
        <v>0</v>
      </c>
      <c r="BV48" t="s">
        <v>996</v>
      </c>
      <c r="BW48">
        <f>IFERROR(VLOOKUP(BW34,$A$34:$AD$72,19,FALSE),"0")+IFERROR(VLOOKUP(BV34,$A$34:$AD$72,19,FALSE),"0")</f>
        <v>0</v>
      </c>
      <c r="BX48" t="s">
        <v>964</v>
      </c>
      <c r="BY48">
        <f>IFERROR(BW48*AVERAGE(Ettev_kalk!$BB$70:$BB$75)/Tootep_kalk!BW56,0)</f>
        <v>0</v>
      </c>
      <c r="CA48" t="s">
        <v>996</v>
      </c>
      <c r="CB48">
        <f>IFERROR(VLOOKUP(CB34,$A$34:$AD$72,19,FALSE),"0")+IFERROR(VLOOKUP(CA34,$A$34:$AD$72,19,FALSE),"0")</f>
        <v>0</v>
      </c>
      <c r="CC48" t="s">
        <v>964</v>
      </c>
      <c r="CD48">
        <f>IFERROR(CB48*AVERAGE(Ettev_kalk!$BB$70:$BB$75)/Tootep_kalk!CB56,0)</f>
        <v>0</v>
      </c>
      <c r="CF48" t="s">
        <v>996</v>
      </c>
      <c r="CG48">
        <f>IFERROR(VLOOKUP(CG34,$A$34:$AD$72,19,FALSE),"0")+IFERROR(VLOOKUP(CF34,$A$34:$AD$72,19,FALSE),"0")</f>
        <v>0</v>
      </c>
      <c r="CH48" t="s">
        <v>964</v>
      </c>
      <c r="CI48">
        <f>IFERROR(CG48*AVERAGE(Ettev_kalk!$BB$70:$BB$75)/Tootep_kalk!CG56,0)</f>
        <v>0</v>
      </c>
      <c r="CK48" t="s">
        <v>996</v>
      </c>
      <c r="CL48">
        <f>IFERROR(VLOOKUP(CL34,$A$34:$AD$72,19,FALSE),"0")+IFERROR(VLOOKUP(CK34,$A$34:$AD$72,19,FALSE),"0")</f>
        <v>0</v>
      </c>
      <c r="CM48" t="s">
        <v>964</v>
      </c>
      <c r="CN48">
        <f>IFERROR(CL48*AVERAGE(Ettev_kalk!$BB$70:$BB$75)/Tootep_kalk!CL56,0)</f>
        <v>0</v>
      </c>
      <c r="CP48" t="s">
        <v>996</v>
      </c>
      <c r="CQ48">
        <f>IFERROR(VLOOKUP(CQ34,$A$34:$AD$72,19,FALSE),"0")+IFERROR(VLOOKUP(CP34,$A$34:$AD$72,19,FALSE),"0")</f>
        <v>0</v>
      </c>
      <c r="CR48" t="s">
        <v>964</v>
      </c>
      <c r="CS48">
        <f>IFERROR(CQ48*AVERAGE(Ettev_kalk!$BB$70:$BB$75)/Tootep_kalk!CQ56,0)</f>
        <v>0</v>
      </c>
      <c r="CU48" t="s">
        <v>996</v>
      </c>
      <c r="CV48">
        <f>IFERROR(VLOOKUP(CV34,$A$34:$AD$72,19,FALSE),"0")+IFERROR(VLOOKUP(CU34,$A$34:$AD$72,19,FALSE),"0")</f>
        <v>0</v>
      </c>
      <c r="CW48" t="s">
        <v>964</v>
      </c>
      <c r="CX48">
        <f>IFERROR(CV48*AVERAGE(Ettev_kalk!$BB$70:$BB$75)/Tootep_kalk!CV56,0)</f>
        <v>0</v>
      </c>
      <c r="CZ48" t="s">
        <v>996</v>
      </c>
      <c r="DA48">
        <f>IFERROR(VLOOKUP(DA34,$A$34:$AD$72,19,FALSE),"0")+IFERROR(VLOOKUP(CZ34,$A$34:$AD$72,19,FALSE),"0")</f>
        <v>0</v>
      </c>
      <c r="DB48" t="s">
        <v>964</v>
      </c>
      <c r="DC48">
        <f>IFERROR(DA48*AVERAGE(Ettev_kalk!$BB$70:$BB$75)/Tootep_kalk!DA56,0)</f>
        <v>0</v>
      </c>
      <c r="DE48" t="s">
        <v>996</v>
      </c>
      <c r="DF48">
        <f>IFERROR(VLOOKUP(DF34,$A$34:$AD$72,19,FALSE),"0")+IFERROR(VLOOKUP(DE34,$A$34:$AD$72,19,FALSE),"0")</f>
        <v>0</v>
      </c>
      <c r="DG48" t="s">
        <v>964</v>
      </c>
      <c r="DH48">
        <f>IFERROR(DF48*AVERAGE(Ettev_kalk!$BB$70:$BB$75)/Tootep_kalk!DF56,0)</f>
        <v>0</v>
      </c>
      <c r="DJ48" t="s">
        <v>996</v>
      </c>
      <c r="DK48">
        <f>IFERROR(VLOOKUP(DK34,$A$34:$AD$72,19,FALSE),"0")+IFERROR(VLOOKUP(DJ34,$A$34:$AD$72,19,FALSE),"0")</f>
        <v>0</v>
      </c>
      <c r="DL48" t="s">
        <v>964</v>
      </c>
      <c r="DM48">
        <f>IFERROR(DK48*AVERAGE(Ettev_kalk!$BB$70:$BB$75)/Tootep_kalk!DK56,0)</f>
        <v>0</v>
      </c>
      <c r="DO48" t="s">
        <v>996</v>
      </c>
      <c r="DP48">
        <f>IFERROR(VLOOKUP(DP34,$A$34:$AD$72,19,FALSE),"0")+IFERROR(VLOOKUP(DO34,$A$34:$AD$72,19,FALSE),"0")</f>
        <v>0</v>
      </c>
      <c r="DQ48" t="s">
        <v>964</v>
      </c>
      <c r="DR48">
        <f>IFERROR(DP48*AVERAGE(Ettev_kalk!$BB$70:$BB$75)/Tootep_kalk!DP56,0)</f>
        <v>0</v>
      </c>
      <c r="DT48" t="s">
        <v>996</v>
      </c>
      <c r="DU48">
        <f>IFERROR(VLOOKUP(DU34,$A$34:$AD$72,19,FALSE),"0")+IFERROR(VLOOKUP(DT34,$A$34:$AD$72,19,FALSE),"0")</f>
        <v>0</v>
      </c>
      <c r="DV48" t="s">
        <v>964</v>
      </c>
      <c r="DW48">
        <f>IFERROR(DU48*AVERAGE(Ettev_kalk!$BB$70:$BB$75)/Tootep_kalk!DU56,0)</f>
        <v>0</v>
      </c>
      <c r="DY48" t="s">
        <v>996</v>
      </c>
      <c r="DZ48">
        <f>IFERROR(VLOOKUP(DZ34,$A$34:$AD$72,19,FALSE),"0")+IFERROR(VLOOKUP(DY34,$A$34:$AD$72,19,FALSE),"0")</f>
        <v>0</v>
      </c>
      <c r="EA48" t="s">
        <v>964</v>
      </c>
      <c r="EB48">
        <f>IFERROR(DZ48*AVERAGE(Ettev_kalk!$BB$70:$BB$75)/Tootep_kalk!DZ56,0)</f>
        <v>0</v>
      </c>
      <c r="ED48" t="s">
        <v>996</v>
      </c>
      <c r="EE48">
        <f>IFERROR(VLOOKUP(EE34,$A$34:$AD$72,19,FALSE),"0")+IFERROR(VLOOKUP(ED34,$A$34:$AD$72,19,FALSE),"0")</f>
        <v>0</v>
      </c>
      <c r="EF48" t="s">
        <v>964</v>
      </c>
      <c r="EG48">
        <f>IFERROR(EE48*AVERAGE(Ettev_kalk!$BB$70:$BB$75)/Tootep_kalk!EE56,0)</f>
        <v>0</v>
      </c>
      <c r="EI48" t="s">
        <v>996</v>
      </c>
      <c r="EJ48">
        <f>IFERROR(VLOOKUP(EJ34,$A$34:$AD$72,19,FALSE),"0")+IFERROR(VLOOKUP(EI34,$A$34:$AD$72,19,FALSE),"0")</f>
        <v>0</v>
      </c>
      <c r="EK48" t="s">
        <v>964</v>
      </c>
      <c r="EL48">
        <f>IFERROR(EJ48*AVERAGE(Ettev_kalk!$BB$70:$BB$75)/Tootep_kalk!EJ56,0)</f>
        <v>0</v>
      </c>
      <c r="EN48" t="s">
        <v>996</v>
      </c>
      <c r="EO48">
        <f>IFERROR(VLOOKUP(EO34,$A$34:$AD$72,19,FALSE),"0")+IFERROR(VLOOKUP(EN34,$A$34:$AD$72,19,FALSE),"0")</f>
        <v>0</v>
      </c>
      <c r="EP48" t="s">
        <v>964</v>
      </c>
      <c r="EQ48">
        <f>IFERROR(EO48*AVERAGE(Ettev_kalk!$BB$70:$BB$75)/Tootep_kalk!EO56,0)</f>
        <v>0</v>
      </c>
      <c r="ES48" t="s">
        <v>996</v>
      </c>
      <c r="ET48">
        <f>IFERROR(VLOOKUP(ET34,$A$34:$AD$72,19,FALSE),"0")+IFERROR(VLOOKUP(ES34,$A$34:$AD$72,19,FALSE),"0")</f>
        <v>0</v>
      </c>
      <c r="EU48" t="s">
        <v>964</v>
      </c>
      <c r="EV48">
        <f>IFERROR(ET48*AVERAGE(Ettev_kalk!$BB$70:$BB$75)/Tootep_kalk!ET56,0)</f>
        <v>0</v>
      </c>
      <c r="EX48" t="s">
        <v>996</v>
      </c>
      <c r="EY48">
        <f>IFERROR(VLOOKUP(EY34,$A$34:$AD$72,19,FALSE),"0")+IFERROR(VLOOKUP(EX34,$A$34:$AD$72,19,FALSE),"0")</f>
        <v>0</v>
      </c>
      <c r="EZ48" t="s">
        <v>964</v>
      </c>
      <c r="FA48">
        <f>IFERROR(EY48*AVERAGE(Ettev_kalk!$BB$70:$BB$75)/Tootep_kalk!EY56,0)</f>
        <v>0</v>
      </c>
      <c r="FC48" t="s">
        <v>996</v>
      </c>
      <c r="FD48">
        <f>IFERROR(VLOOKUP(FD34,$A$34:$AD$72,19,FALSE),"0")+IFERROR(VLOOKUP(FC34,$A$34:$AD$72,19,FALSE),"0")</f>
        <v>0</v>
      </c>
      <c r="FE48" t="s">
        <v>964</v>
      </c>
      <c r="FF48">
        <f>IFERROR(FD48*AVERAGE(Ettev_kalk!$BB$70:$BB$75)/Tootep_kalk!FD56,0)</f>
        <v>0</v>
      </c>
      <c r="FH48" t="s">
        <v>996</v>
      </c>
      <c r="FI48">
        <f>IFERROR(VLOOKUP(FI34,$A$34:$AD$72,19,FALSE),"0")+IFERROR(VLOOKUP(FH34,$A$34:$AD$72,19,FALSE),"0")</f>
        <v>0</v>
      </c>
      <c r="FJ48" t="s">
        <v>964</v>
      </c>
      <c r="FK48">
        <f>IFERROR(FI48*AVERAGE(Ettev_kalk!$BB$70:$BB$75)/Tootep_kalk!FI56,0)</f>
        <v>0</v>
      </c>
      <c r="FM48" t="s">
        <v>996</v>
      </c>
      <c r="FN48">
        <f>IFERROR(VLOOKUP(FN34,$A$34:$AD$72,19,FALSE),"0")+IFERROR(VLOOKUP(FM34,$A$34:$AD$72,19,FALSE),"0")</f>
        <v>0</v>
      </c>
      <c r="FO48" t="s">
        <v>964</v>
      </c>
      <c r="FP48">
        <f>IFERROR(FN48*AVERAGE(Ettev_kalk!$BB$70:$BB$75)/Tootep_kalk!FN56,0)</f>
        <v>0</v>
      </c>
      <c r="FR48" t="s">
        <v>996</v>
      </c>
      <c r="FS48">
        <f>IFERROR(VLOOKUP(FS34,$A$34:$AD$72,19,FALSE),"0")+IFERROR(VLOOKUP(FR34,$A$34:$AD$72,19,FALSE),"0")</f>
        <v>0</v>
      </c>
      <c r="FT48" t="s">
        <v>964</v>
      </c>
      <c r="FU48">
        <f>IFERROR(FS48*AVERAGE(Ettev_kalk!$BB$70:$BB$75)/Tootep_kalk!FS56,0)</f>
        <v>0</v>
      </c>
      <c r="FW48" t="s">
        <v>996</v>
      </c>
      <c r="FX48">
        <f>IFERROR(VLOOKUP(FX34,$A$34:$AD$72,19,FALSE),"0")+IFERROR(VLOOKUP(FW34,$A$34:$AD$72,19,FALSE),"0")</f>
        <v>0</v>
      </c>
      <c r="FY48" t="s">
        <v>964</v>
      </c>
      <c r="FZ48">
        <f>IFERROR(FX48*AVERAGE(Ettev_kalk!$BB$70:$BB$75)/Tootep_kalk!FX56,0)</f>
        <v>0</v>
      </c>
    </row>
    <row r="49" spans="1:182">
      <c r="A49">
        <f>Q3</f>
        <v>0</v>
      </c>
      <c r="B49">
        <f>Q4</f>
        <v>0</v>
      </c>
      <c r="C49">
        <f>Q5</f>
        <v>0</v>
      </c>
      <c r="D49">
        <f>Q6</f>
        <v>0</v>
      </c>
      <c r="E49">
        <f>Q7</f>
        <v>0</v>
      </c>
      <c r="F49" s="28">
        <f>Q8</f>
        <v>0</v>
      </c>
      <c r="G49">
        <f>Q9</f>
        <v>0</v>
      </c>
      <c r="H49">
        <f>Q10</f>
        <v>0</v>
      </c>
      <c r="I49">
        <f>Q11</f>
        <v>0</v>
      </c>
      <c r="J49">
        <f>Q12</f>
        <v>0</v>
      </c>
      <c r="K49" s="28">
        <f>Q13</f>
        <v>0</v>
      </c>
      <c r="L49">
        <f>Q14</f>
        <v>0</v>
      </c>
      <c r="M49" s="28">
        <f>Q15</f>
        <v>0</v>
      </c>
      <c r="N49">
        <f>Q16</f>
        <v>0</v>
      </c>
      <c r="O49" s="28">
        <f>Q17</f>
        <v>0</v>
      </c>
      <c r="P49" s="28">
        <f t="shared" si="14"/>
        <v>0</v>
      </c>
      <c r="Q49" s="28">
        <f t="shared" si="9"/>
        <v>0</v>
      </c>
      <c r="R49" s="28">
        <f t="shared" si="10"/>
        <v>0</v>
      </c>
      <c r="S49" s="28">
        <f t="shared" si="11"/>
        <v>0</v>
      </c>
      <c r="T49" s="28">
        <f t="shared" si="15"/>
        <v>0</v>
      </c>
      <c r="U49">
        <f t="shared" si="16"/>
        <v>0</v>
      </c>
      <c r="V49" s="260" t="e">
        <f>Q21</f>
        <v>#DIV/0!</v>
      </c>
      <c r="W49" s="260" t="e">
        <f>Q22</f>
        <v>#DIV/0!</v>
      </c>
      <c r="X49">
        <f>Q23</f>
        <v>0</v>
      </c>
      <c r="Y49">
        <f>Q24</f>
        <v>0</v>
      </c>
      <c r="Z49" s="260" t="e">
        <f>Q25</f>
        <v>#DIV/0!</v>
      </c>
      <c r="AA49" s="260" t="e">
        <f>Q27</f>
        <v>#DIV/0!</v>
      </c>
      <c r="AB49" t="e">
        <f>Q28</f>
        <v>#DIV/0!</v>
      </c>
      <c r="AC49">
        <f>Q29</f>
        <v>0</v>
      </c>
      <c r="AD49">
        <f>Q30</f>
        <v>0</v>
      </c>
      <c r="AH49" t="s">
        <v>944</v>
      </c>
      <c r="AI49">
        <f>IFERROR(VLOOKUP(AH34,$A$34:$AD$72,4,FALSE),0)+IFERROR(VLOOKUP(AI34,$A$34:$AD$72,4,FALSE),0)</f>
        <v>0</v>
      </c>
      <c r="AK49" s="458">
        <f>IFERROR(AI49/AI56,0)</f>
        <v>0</v>
      </c>
      <c r="AM49" t="s">
        <v>944</v>
      </c>
      <c r="AN49">
        <f>IFERROR(VLOOKUP(AM34,$A$34:$AD$72,4,FALSE),0)+IFERROR(VLOOKUP(AN34,$A$34:$AD$72,4,FALSE),0)</f>
        <v>0</v>
      </c>
      <c r="AP49" s="458">
        <f>IFERROR(AN49/AN56,0)</f>
        <v>0</v>
      </c>
      <c r="AR49" t="s">
        <v>944</v>
      </c>
      <c r="AS49">
        <f>IFERROR(VLOOKUP(AR34,$A$34:$AD$72,4,FALSE),0)+IFERROR(VLOOKUP(AS34,$A$34:$AD$72,4,FALSE),0)</f>
        <v>0</v>
      </c>
      <c r="AU49" s="458">
        <f>IFERROR(AS49/AS56,0)</f>
        <v>0</v>
      </c>
      <c r="AW49" t="s">
        <v>944</v>
      </c>
      <c r="AX49">
        <f>IFERROR(VLOOKUP(AW34,$A$34:$AD$72,4,FALSE),0)+IFERROR(VLOOKUP(AX34,$A$34:$AD$72,4,FALSE),0)</f>
        <v>0</v>
      </c>
      <c r="AZ49" s="458">
        <f>IFERROR(AX49/AX56,0)</f>
        <v>0</v>
      </c>
      <c r="BB49" t="s">
        <v>944</v>
      </c>
      <c r="BC49">
        <f>IFERROR(VLOOKUP(BB34,$A$34:$AD$72,4,FALSE),0)+IFERROR(VLOOKUP(BC34,$A$34:$AD$72,4,FALSE),0)</f>
        <v>0</v>
      </c>
      <c r="BE49" s="458">
        <f>IFERROR(BC49/BC56,0)</f>
        <v>0</v>
      </c>
      <c r="BG49" t="s">
        <v>944</v>
      </c>
      <c r="BH49">
        <f>IFERROR(VLOOKUP(BG34,$A$34:$AD$72,4,FALSE),0)+IFERROR(VLOOKUP(BH34,$A$34:$AD$72,4,FALSE),0)</f>
        <v>0</v>
      </c>
      <c r="BJ49" s="458">
        <f>IFERROR(BH49/BH56,0)</f>
        <v>0</v>
      </c>
      <c r="BL49" t="s">
        <v>944</v>
      </c>
      <c r="BM49">
        <f>IFERROR(VLOOKUP(BL34,$A$34:$AD$72,4,FALSE),0)+IFERROR(VLOOKUP(BM34,$A$34:$AD$72,4,FALSE),0)</f>
        <v>0</v>
      </c>
      <c r="BO49" s="458">
        <f>IFERROR(BM49/BM56,0)</f>
        <v>0</v>
      </c>
      <c r="BQ49" t="s">
        <v>944</v>
      </c>
      <c r="BR49">
        <f>IFERROR(VLOOKUP(BQ34,$A$34:$AD$72,4,FALSE),0)+IFERROR(VLOOKUP(BR34,$A$34:$AD$72,4,FALSE),0)</f>
        <v>0</v>
      </c>
      <c r="BT49" s="458">
        <f>IFERROR(BR49/BR56,0)</f>
        <v>0</v>
      </c>
      <c r="BV49" t="s">
        <v>944</v>
      </c>
      <c r="BW49">
        <f>IFERROR(VLOOKUP(BV34,$A$34:$AD$72,4,FALSE),0)+IFERROR(VLOOKUP(BW34,$A$34:$AD$72,4,FALSE),0)</f>
        <v>0</v>
      </c>
      <c r="BY49" s="458">
        <f>IFERROR(BW49/BW56,0)</f>
        <v>0</v>
      </c>
      <c r="CA49" t="s">
        <v>944</v>
      </c>
      <c r="CB49">
        <f>IFERROR(VLOOKUP(CA34,$A$34:$AD$72,4,FALSE),0)+IFERROR(VLOOKUP(CB34,$A$34:$AD$72,4,FALSE),0)</f>
        <v>0</v>
      </c>
      <c r="CD49" s="458">
        <f>IFERROR(CB49/CB56,0)</f>
        <v>0</v>
      </c>
      <c r="CF49" t="s">
        <v>944</v>
      </c>
      <c r="CG49">
        <f>IFERROR(VLOOKUP(CF34,$A$34:$AD$72,4,FALSE),0)+IFERROR(VLOOKUP(CG34,$A$34:$AD$72,4,FALSE),0)</f>
        <v>0</v>
      </c>
      <c r="CI49" s="458">
        <f>IFERROR(CG49/CG56,0)</f>
        <v>0</v>
      </c>
      <c r="CK49" t="s">
        <v>944</v>
      </c>
      <c r="CL49">
        <f>IFERROR(VLOOKUP(CK34,$A$34:$AD$72,4,FALSE),0)+IFERROR(VLOOKUP(CL34,$A$34:$AD$72,4,FALSE),0)</f>
        <v>0</v>
      </c>
      <c r="CN49" s="458">
        <f>IFERROR(CL49/CL56,0)</f>
        <v>0</v>
      </c>
      <c r="CP49" t="s">
        <v>944</v>
      </c>
      <c r="CQ49">
        <f>IFERROR(VLOOKUP(CP34,$A$34:$AD$72,4,FALSE),0)+IFERROR(VLOOKUP(CQ34,$A$34:$AD$72,4,FALSE),0)</f>
        <v>0</v>
      </c>
      <c r="CS49" s="458">
        <f>IFERROR(CQ49/CQ56,0)</f>
        <v>0</v>
      </c>
      <c r="CU49" t="s">
        <v>944</v>
      </c>
      <c r="CV49">
        <f>IFERROR(VLOOKUP(CU34,$A$34:$AD$72,4,FALSE),0)+IFERROR(VLOOKUP(CV34,$A$34:$AD$72,4,FALSE),0)</f>
        <v>0</v>
      </c>
      <c r="CX49" s="458">
        <f>IFERROR(CV49/CV56,0)</f>
        <v>0</v>
      </c>
      <c r="CZ49" t="s">
        <v>944</v>
      </c>
      <c r="DA49">
        <f>IFERROR(VLOOKUP(CZ34,$A$34:$AD$72,4,FALSE),0)+IFERROR(VLOOKUP(DA34,$A$34:$AD$72,4,FALSE),0)</f>
        <v>0</v>
      </c>
      <c r="DC49" s="458">
        <f>IFERROR(DA49/DA56,0)</f>
        <v>0</v>
      </c>
      <c r="DE49" t="s">
        <v>944</v>
      </c>
      <c r="DF49">
        <f>IFERROR(VLOOKUP(DE34,$A$34:$AD$72,4,FALSE),0)+IFERROR(VLOOKUP(DF34,$A$34:$AD$72,4,FALSE),0)</f>
        <v>0</v>
      </c>
      <c r="DH49" s="458">
        <f>IFERROR(DF49/DF56,0)</f>
        <v>0</v>
      </c>
      <c r="DJ49" t="s">
        <v>944</v>
      </c>
      <c r="DK49">
        <f>IFERROR(VLOOKUP(DJ34,$A$34:$AD$72,4,FALSE),0)+IFERROR(VLOOKUP(DK34,$A$34:$AD$72,4,FALSE),0)</f>
        <v>0</v>
      </c>
      <c r="DM49" s="458">
        <f>IFERROR(DK49/DK56,0)</f>
        <v>0</v>
      </c>
      <c r="DO49" t="s">
        <v>944</v>
      </c>
      <c r="DP49">
        <f>IFERROR(VLOOKUP(DO34,$A$34:$AD$72,4,FALSE),0)+IFERROR(VLOOKUP(DP34,$A$34:$AD$72,4,FALSE),0)</f>
        <v>0</v>
      </c>
      <c r="DR49" s="458">
        <f>IFERROR(DP49/DP56,0)</f>
        <v>0</v>
      </c>
      <c r="DT49" t="s">
        <v>944</v>
      </c>
      <c r="DU49">
        <f>IFERROR(VLOOKUP(DT34,$A$34:$AD$72,4,FALSE),0)+IFERROR(VLOOKUP(DU34,$A$34:$AD$72,4,FALSE),0)</f>
        <v>0</v>
      </c>
      <c r="DW49" s="458">
        <f>IFERROR(DU49/DU56,0)</f>
        <v>0</v>
      </c>
      <c r="DY49" t="s">
        <v>944</v>
      </c>
      <c r="DZ49">
        <f>IFERROR(VLOOKUP(DY34,$A$34:$AD$72,4,FALSE),0)+IFERROR(VLOOKUP(DZ34,$A$34:$AD$72,4,FALSE),0)</f>
        <v>0</v>
      </c>
      <c r="EB49" s="458">
        <f>IFERROR(DZ49/DZ56,0)</f>
        <v>0</v>
      </c>
      <c r="ED49" t="s">
        <v>944</v>
      </c>
      <c r="EE49">
        <f>IFERROR(VLOOKUP(ED34,$A$34:$AD$72,4,FALSE),0)+IFERROR(VLOOKUP(EE34,$A$34:$AD$72,4,FALSE),0)</f>
        <v>0</v>
      </c>
      <c r="EG49" s="458">
        <f>IFERROR(EE49/EE56,0)</f>
        <v>0</v>
      </c>
      <c r="EI49" t="s">
        <v>944</v>
      </c>
      <c r="EJ49">
        <f>IFERROR(VLOOKUP(EI34,$A$34:$AD$72,4,FALSE),0)+IFERROR(VLOOKUP(EJ34,$A$34:$AD$72,4,FALSE),0)</f>
        <v>0</v>
      </c>
      <c r="EL49" s="458">
        <f>IFERROR(EJ49/EJ56,0)</f>
        <v>0</v>
      </c>
      <c r="EN49" t="s">
        <v>944</v>
      </c>
      <c r="EO49">
        <f>IFERROR(VLOOKUP(EN34,$A$34:$AD$72,4,FALSE),0)+IFERROR(VLOOKUP(EO34,$A$34:$AD$72,4,FALSE),0)</f>
        <v>0</v>
      </c>
      <c r="EQ49" s="458">
        <f>IFERROR(EO49/EO56,0)</f>
        <v>0</v>
      </c>
      <c r="ES49" t="s">
        <v>944</v>
      </c>
      <c r="ET49">
        <f>IFERROR(VLOOKUP(ES34,$A$34:$AD$72,4,FALSE),0)+IFERROR(VLOOKUP(ET34,$A$34:$AD$72,4,FALSE),0)</f>
        <v>0</v>
      </c>
      <c r="EV49" s="458">
        <f>IFERROR(ET49/ET56,0)</f>
        <v>0</v>
      </c>
      <c r="EX49" t="s">
        <v>944</v>
      </c>
      <c r="EY49">
        <f>IFERROR(VLOOKUP(EX34,$A$34:$AD$72,4,FALSE),0)+IFERROR(VLOOKUP(EY34,$A$34:$AD$72,4,FALSE),0)</f>
        <v>0</v>
      </c>
      <c r="FA49" s="458">
        <f>IFERROR(EY49/EY56,0)</f>
        <v>0</v>
      </c>
      <c r="FC49" t="s">
        <v>944</v>
      </c>
      <c r="FD49">
        <f>IFERROR(VLOOKUP(FC34,$A$34:$AD$72,4,FALSE),0)+IFERROR(VLOOKUP(FD34,$A$34:$AD$72,4,FALSE),0)</f>
        <v>0</v>
      </c>
      <c r="FF49" s="458">
        <f>IFERROR(FD49/FD56,0)</f>
        <v>0</v>
      </c>
      <c r="FH49" t="s">
        <v>944</v>
      </c>
      <c r="FI49">
        <f>IFERROR(VLOOKUP(FH34,$A$34:$AD$72,4,FALSE),0)+IFERROR(VLOOKUP(FI34,$A$34:$AD$72,4,FALSE),0)</f>
        <v>0</v>
      </c>
      <c r="FK49" s="458">
        <f>IFERROR(FI49/FI56,0)</f>
        <v>0</v>
      </c>
      <c r="FM49" t="s">
        <v>944</v>
      </c>
      <c r="FN49">
        <f>IFERROR(VLOOKUP(FM34,$A$34:$AD$72,4,FALSE),0)+IFERROR(VLOOKUP(FN34,$A$34:$AD$72,4,FALSE),0)</f>
        <v>0</v>
      </c>
      <c r="FP49" s="458">
        <f>IFERROR(FN49/FN56,0)</f>
        <v>0</v>
      </c>
      <c r="FR49" t="s">
        <v>944</v>
      </c>
      <c r="FS49">
        <f>IFERROR(VLOOKUP(FR34,$A$34:$AD$72,4,FALSE),0)+IFERROR(VLOOKUP(FS34,$A$34:$AD$72,4,FALSE),0)</f>
        <v>0</v>
      </c>
      <c r="FU49" s="458">
        <f>IFERROR(FS49/FS56,0)</f>
        <v>0</v>
      </c>
      <c r="FW49" t="s">
        <v>944</v>
      </c>
      <c r="FX49">
        <f>IFERROR(VLOOKUP(FW34,$A$34:$AD$72,4,FALSE),0)+IFERROR(VLOOKUP(FX34,$A$34:$AD$72,4,FALSE),0)</f>
        <v>0</v>
      </c>
      <c r="FZ49" s="458">
        <f>IFERROR(FX49/FX56,0)</f>
        <v>0</v>
      </c>
    </row>
    <row r="50" spans="1:182">
      <c r="A50">
        <f>R3</f>
        <v>0</v>
      </c>
      <c r="B50">
        <f>R4</f>
        <v>0</v>
      </c>
      <c r="C50">
        <f>R5</f>
        <v>0</v>
      </c>
      <c r="D50">
        <f>R6</f>
        <v>0</v>
      </c>
      <c r="E50">
        <f>R7</f>
        <v>0</v>
      </c>
      <c r="F50" s="28">
        <f>R8</f>
        <v>0</v>
      </c>
      <c r="G50">
        <f>R9</f>
        <v>0</v>
      </c>
      <c r="H50">
        <f>R10</f>
        <v>0</v>
      </c>
      <c r="I50">
        <f>R11</f>
        <v>0</v>
      </c>
      <c r="J50">
        <f>R12</f>
        <v>0</v>
      </c>
      <c r="K50" s="28">
        <f>R13</f>
        <v>0</v>
      </c>
      <c r="L50">
        <f>R14</f>
        <v>0</v>
      </c>
      <c r="M50" s="28">
        <f>R15</f>
        <v>0</v>
      </c>
      <c r="N50">
        <f>R16</f>
        <v>0</v>
      </c>
      <c r="O50" s="28">
        <f>R17</f>
        <v>0</v>
      </c>
      <c r="P50" s="28">
        <f t="shared" si="14"/>
        <v>0</v>
      </c>
      <c r="Q50" s="28">
        <f t="shared" si="9"/>
        <v>0</v>
      </c>
      <c r="R50" s="28">
        <f t="shared" si="10"/>
        <v>0</v>
      </c>
      <c r="S50" s="28">
        <f t="shared" si="11"/>
        <v>0</v>
      </c>
      <c r="T50" s="28">
        <f t="shared" si="15"/>
        <v>0</v>
      </c>
      <c r="U50">
        <f t="shared" si="16"/>
        <v>0</v>
      </c>
      <c r="V50" s="260" t="e">
        <f>R21</f>
        <v>#DIV/0!</v>
      </c>
      <c r="W50" s="260" t="e">
        <f>R22</f>
        <v>#DIV/0!</v>
      </c>
      <c r="X50">
        <f>R23</f>
        <v>0</v>
      </c>
      <c r="Y50">
        <f>R24</f>
        <v>0</v>
      </c>
      <c r="Z50" s="260" t="e">
        <f>R25</f>
        <v>#DIV/0!</v>
      </c>
      <c r="AA50" s="260" t="e">
        <f>R27</f>
        <v>#DIV/0!</v>
      </c>
      <c r="AB50" t="e">
        <f>R28</f>
        <v>#DIV/0!</v>
      </c>
      <c r="AC50">
        <f>R29</f>
        <v>0</v>
      </c>
      <c r="AD50">
        <f>R30</f>
        <v>0</v>
      </c>
      <c r="AH50" t="s">
        <v>455</v>
      </c>
      <c r="AK50">
        <f>IFERROR((IFERROR(VLOOKUP(AH34,$A$34:$AD$72,23,FALSE),"0")+IFERROR(VLOOKUP(AI34,$A$34:$AD$72,23,FALSE),"0")+IFERROR(VLOOKUP(AH34,Ettev_kalk!$AY$151:$BE$160,7,FALSE),0)+IFERROR(VLOOKUP(AI34,Ettev_kalk!$AY$151:$BF$160,7,FALSE),0))/AI56,0)</f>
        <v>0</v>
      </c>
      <c r="AM50" t="s">
        <v>455</v>
      </c>
      <c r="AP50">
        <f>IFERROR((IFERROR(VLOOKUP(AM34,$A$34:$AD$72,23,FALSE),"0")+IFERROR(VLOOKUP(AN34,$A$34:$AD$72,23,FALSE),"0")+IFERROR(VLOOKUP(AM34,Ettev_kalk!$AY$151:$BE$160,7,FALSE),0)+IFERROR(VLOOKUP(AN34,Ettev_kalk!$AY$151:$BF$160,7,FALSE),0))/AN56,0)</f>
        <v>0</v>
      </c>
      <c r="AR50" t="s">
        <v>455</v>
      </c>
      <c r="AU50">
        <f>IFERROR((IFERROR(VLOOKUP(AR34,$A$34:$AD$72,23,FALSE),"0")+IFERROR(VLOOKUP(AS34,$A$34:$AD$72,23,FALSE),"0")+IFERROR(VLOOKUP(AR34,Ettev_kalk!$AY$151:$BE$160,7,FALSE),0)+IFERROR(VLOOKUP(AS34,Ettev_kalk!$AY$151:$BF$160,7,FALSE),0))/AS56,0)</f>
        <v>0</v>
      </c>
      <c r="AW50" t="s">
        <v>455</v>
      </c>
      <c r="AZ50">
        <f>IFERROR((IFERROR(VLOOKUP(AW34,$A$34:$AD$72,23,FALSE),"0")+IFERROR(VLOOKUP(AX34,$A$34:$AD$72,23,FALSE),"0")+IFERROR(VLOOKUP(AW34,Ettev_kalk!$AY$151:$BE$160,7,FALSE),0)+IFERROR(VLOOKUP(AX34,Ettev_kalk!$AY$151:$BF$160,7,FALSE),0))/AX56,0)</f>
        <v>0</v>
      </c>
      <c r="BB50" t="s">
        <v>455</v>
      </c>
      <c r="BE50">
        <f>IFERROR((IFERROR(VLOOKUP(BB34,$A$34:$AD$72,23,FALSE),"0")+IFERROR(VLOOKUP(BC34,$A$34:$AD$72,23,FALSE),"0")+IFERROR(VLOOKUP(BB34,Ettev_kalk!$AY$151:$BE$160,7,FALSE),0)+IFERROR(VLOOKUP(BC34,Ettev_kalk!$AY$151:$BF$160,7,FALSE),0))/BC56,0)</f>
        <v>0</v>
      </c>
      <c r="BG50" t="s">
        <v>455</v>
      </c>
      <c r="BJ50">
        <f>IFERROR((IFERROR(VLOOKUP(BG34,$A$34:$AD$72,23,FALSE),"0")+IFERROR(VLOOKUP(BH34,$A$34:$AD$72,23,FALSE),"0")+IFERROR(VLOOKUP(BG34,Ettev_kalk!$AY$151:$BE$160,7,FALSE),0)+IFERROR(VLOOKUP(BH34,Ettev_kalk!$AY$151:$BF$160,7,FALSE),0))/BH56,0)</f>
        <v>0</v>
      </c>
      <c r="BL50" t="s">
        <v>455</v>
      </c>
      <c r="BO50">
        <f>IFERROR((IFERROR(VLOOKUP(BL34,$A$34:$AD$72,23,FALSE),"0")+IFERROR(VLOOKUP(BM34,$A$34:$AD$72,23,FALSE),"0")+IFERROR(VLOOKUP(BL34,Ettev_kalk!$AY$151:$BE$160,7,FALSE),0)+IFERROR(VLOOKUP(BM34,Ettev_kalk!$AY$151:$BF$160,7,FALSE),0))/BM56,0)</f>
        <v>0</v>
      </c>
      <c r="BQ50" t="s">
        <v>455</v>
      </c>
      <c r="BT50">
        <f>IFERROR((IFERROR(VLOOKUP(BQ34,$A$34:$AD$72,23,FALSE),"0")+IFERROR(VLOOKUP(BR34,$A$34:$AD$72,23,FALSE),"0")+IFERROR(VLOOKUP(BQ34,Ettev_kalk!$AY$151:$BE$160,7,FALSE),0)+IFERROR(VLOOKUP(BR34,Ettev_kalk!$AY$151:$BF$160,7,FALSE),0))/BR56,0)</f>
        <v>0</v>
      </c>
      <c r="BV50" t="s">
        <v>455</v>
      </c>
      <c r="BY50">
        <f>IFERROR((IFERROR(VLOOKUP(BV34,$A$34:$AD$72,23,FALSE),"0")+IFERROR(VLOOKUP(BW34,$A$34:$AD$72,23,FALSE),"0")+IFERROR(VLOOKUP(BV34,Ettev_kalk!$AY$151:$BE$160,7,FALSE),0)+IFERROR(VLOOKUP(BW34,Ettev_kalk!$AY$151:$BF$160,7,FALSE),0))/BW56,0)</f>
        <v>0</v>
      </c>
      <c r="CA50" t="s">
        <v>455</v>
      </c>
      <c r="CD50">
        <f>IFERROR((IFERROR(VLOOKUP(CA34,$A$34:$AD$72,23,FALSE),"0")+IFERROR(VLOOKUP(CB34,$A$34:$AD$72,23,FALSE),"0")+IFERROR(VLOOKUP(CA34,Ettev_kalk!$AY$151:$BE$160,7,FALSE),0)+IFERROR(VLOOKUP(CB34,Ettev_kalk!$AY$151:$BF$160,7,FALSE),0))/CB56,0)</f>
        <v>0</v>
      </c>
      <c r="CF50" t="s">
        <v>455</v>
      </c>
      <c r="CI50">
        <f>IFERROR((IFERROR(VLOOKUP(CF34,$A$34:$AD$72,23,FALSE),"0")+IFERROR(VLOOKUP(CG34,$A$34:$AD$72,23,FALSE),"0")+IFERROR(VLOOKUP(CF34,Ettev_kalk!$AY$151:$BE$160,7,FALSE),0)+IFERROR(VLOOKUP(CG34,Ettev_kalk!$AY$151:$BF$160,7,FALSE),0))/CG56,0)</f>
        <v>0</v>
      </c>
      <c r="CK50" t="s">
        <v>455</v>
      </c>
      <c r="CN50">
        <f>IFERROR((IFERROR(VLOOKUP(CK34,$A$34:$AD$72,23,FALSE),"0")+IFERROR(VLOOKUP(CL34,$A$34:$AD$72,23,FALSE),"0")+IFERROR(VLOOKUP(CK34,Ettev_kalk!$AY$151:$BE$160,7,FALSE),0)+IFERROR(VLOOKUP(CL34,Ettev_kalk!$AY$151:$BF$160,7,FALSE),0))/CL56,0)</f>
        <v>0</v>
      </c>
      <c r="CP50" t="s">
        <v>455</v>
      </c>
      <c r="CS50">
        <f>IFERROR((IFERROR(VLOOKUP(CP34,$A$34:$AD$72,23,FALSE),"0")+IFERROR(VLOOKUP(CQ34,$A$34:$AD$72,23,FALSE),"0")+IFERROR(VLOOKUP(CP34,Ettev_kalk!$AY$151:$BE$160,7,FALSE),0)+IFERROR(VLOOKUP(CQ34,Ettev_kalk!$AY$151:$BF$160,7,FALSE),0))/CQ56,0)</f>
        <v>0</v>
      </c>
      <c r="CU50" t="s">
        <v>455</v>
      </c>
      <c r="CX50">
        <f>IFERROR((IFERROR(VLOOKUP(CU34,$A$34:$AD$72,23,FALSE),"0")+IFERROR(VLOOKUP(CV34,$A$34:$AD$72,23,FALSE),"0")+IFERROR(VLOOKUP(CU34,Ettev_kalk!$AY$151:$BE$160,7,FALSE),0)+IFERROR(VLOOKUP(CV34,Ettev_kalk!$AY$151:$BF$160,7,FALSE),0))/CV56,0)</f>
        <v>0</v>
      </c>
      <c r="CZ50" t="s">
        <v>455</v>
      </c>
      <c r="DC50">
        <f>IFERROR((IFERROR(VLOOKUP(CZ34,$A$34:$AD$72,23,FALSE),"0")+IFERROR(VLOOKUP(DA34,$A$34:$AD$72,23,FALSE),"0")+IFERROR(VLOOKUP(CZ34,Ettev_kalk!$AY$151:$BE$160,7,FALSE),0)+IFERROR(VLOOKUP(DA34,Ettev_kalk!$AY$151:$BF$160,7,FALSE),0))/DA56,0)</f>
        <v>0</v>
      </c>
      <c r="DE50" t="s">
        <v>455</v>
      </c>
      <c r="DH50">
        <f>IFERROR((IFERROR(VLOOKUP(DE34,$A$34:$AD$72,23,FALSE),"0")+IFERROR(VLOOKUP(DF34,$A$34:$AD$72,23,FALSE),"0")+IFERROR(VLOOKUP(DE34,Ettev_kalk!$AY$151:$BE$160,7,FALSE),0)+IFERROR(VLOOKUP(DF34,Ettev_kalk!$AY$151:$BF$160,7,FALSE),0))/DF56,0)</f>
        <v>0</v>
      </c>
      <c r="DJ50" t="s">
        <v>455</v>
      </c>
      <c r="DM50">
        <f>IFERROR((IFERROR(VLOOKUP(DJ34,$A$34:$AD$72,23,FALSE),"0")+IFERROR(VLOOKUP(DK34,$A$34:$AD$72,23,FALSE),"0")+IFERROR(VLOOKUP(DJ34,Ettev_kalk!$AY$151:$BE$160,7,FALSE),0)+IFERROR(VLOOKUP(DK34,Ettev_kalk!$AY$151:$BF$160,7,FALSE),0))/DK56,0)</f>
        <v>0</v>
      </c>
      <c r="DO50" t="s">
        <v>455</v>
      </c>
      <c r="DR50">
        <f>IFERROR((IFERROR(VLOOKUP(DO34,$A$34:$AD$72,23,FALSE),"0")+IFERROR(VLOOKUP(DP34,$A$34:$AD$72,23,FALSE),"0")+IFERROR(VLOOKUP(DO34,Ettev_kalk!$AY$151:$BE$160,7,FALSE),0)+IFERROR(VLOOKUP(DP34,Ettev_kalk!$AY$151:$BF$160,7,FALSE),0))/DP56,0)</f>
        <v>0</v>
      </c>
      <c r="DT50" t="s">
        <v>455</v>
      </c>
      <c r="DW50">
        <f>IFERROR((IFERROR(VLOOKUP(DT34,$A$34:$AD$72,23,FALSE),"0")+IFERROR(VLOOKUP(DU34,$A$34:$AD$72,23,FALSE),"0")+IFERROR(VLOOKUP(DT34,Ettev_kalk!$AY$151:$BE$160,7,FALSE),0)+IFERROR(VLOOKUP(DU34,Ettev_kalk!$AY$151:$BF$160,7,FALSE),0))/DU56,0)</f>
        <v>0</v>
      </c>
      <c r="DY50" t="s">
        <v>455</v>
      </c>
      <c r="EB50">
        <f>IFERROR((IFERROR(VLOOKUP(DY34,$A$34:$AD$72,23,FALSE),"0")+IFERROR(VLOOKUP(DZ34,$A$34:$AD$72,23,FALSE),"0")+IFERROR(VLOOKUP(DY34,Ettev_kalk!$AY$151:$BE$160,7,FALSE),0)+IFERROR(VLOOKUP(DZ34,Ettev_kalk!$AY$151:$BF$160,7,FALSE),0))/DZ56,0)</f>
        <v>0</v>
      </c>
      <c r="ED50" t="s">
        <v>455</v>
      </c>
      <c r="EG50">
        <f>IFERROR((IFERROR(VLOOKUP(ED34,$A$34:$AD$72,23,FALSE),"0")+IFERROR(VLOOKUP(EE34,$A$34:$AD$72,23,FALSE),"0")+IFERROR(VLOOKUP(ED34,Ettev_kalk!$AY$151:$BE$160,7,FALSE),0)+IFERROR(VLOOKUP(EE34,Ettev_kalk!$AY$151:$BF$160,7,FALSE),0))/EE56,0)</f>
        <v>0</v>
      </c>
      <c r="EI50" t="s">
        <v>455</v>
      </c>
      <c r="EL50">
        <f>IFERROR((IFERROR(VLOOKUP(EI34,$A$34:$AD$72,23,FALSE),"0")+IFERROR(VLOOKUP(EJ34,$A$34:$AD$72,23,FALSE),"0")+IFERROR(VLOOKUP(EI34,Ettev_kalk!$AY$151:$BE$160,7,FALSE),0)+IFERROR(VLOOKUP(EJ34,Ettev_kalk!$AY$151:$BF$160,7,FALSE),0))/EJ56,0)</f>
        <v>0</v>
      </c>
      <c r="EN50" t="s">
        <v>455</v>
      </c>
      <c r="EQ50">
        <f>IFERROR((IFERROR(VLOOKUP(EN34,$A$34:$AD$72,23,FALSE),"0")+IFERROR(VLOOKUP(EO34,$A$34:$AD$72,23,FALSE),"0")+IFERROR(VLOOKUP(EN34,Ettev_kalk!$AY$151:$BE$160,7,FALSE),0)+IFERROR(VLOOKUP(EO34,Ettev_kalk!$AY$151:$BF$160,7,FALSE),0))/EO56,0)</f>
        <v>0</v>
      </c>
      <c r="ES50" t="s">
        <v>455</v>
      </c>
      <c r="EV50">
        <f>IFERROR((IFERROR(VLOOKUP(ES34,$A$34:$AD$72,23,FALSE),"0")+IFERROR(VLOOKUP(ET34,$A$34:$AD$72,23,FALSE),"0")+IFERROR(VLOOKUP(ES34,Ettev_kalk!$AY$151:$BE$160,7,FALSE),0)+IFERROR(VLOOKUP(ET34,Ettev_kalk!$AY$151:$BF$160,7,FALSE),0))/ET56,0)</f>
        <v>0</v>
      </c>
      <c r="EX50" t="s">
        <v>455</v>
      </c>
      <c r="FA50">
        <f>IFERROR((IFERROR(VLOOKUP(EX34,$A$34:$AD$72,23,FALSE),"0")+IFERROR(VLOOKUP(EY34,$A$34:$AD$72,23,FALSE),"0")+IFERROR(VLOOKUP(EX34,Ettev_kalk!$AY$151:$BE$160,7,FALSE),0)+IFERROR(VLOOKUP(EY34,Ettev_kalk!$AY$151:$BF$160,7,FALSE),0))/EY56,0)</f>
        <v>0</v>
      </c>
      <c r="FC50" t="s">
        <v>455</v>
      </c>
      <c r="FF50">
        <f>IFERROR((IFERROR(VLOOKUP(FC34,$A$34:$AD$72,23,FALSE),"0")+IFERROR(VLOOKUP(FD34,$A$34:$AD$72,23,FALSE),"0")+IFERROR(VLOOKUP(FC34,Ettev_kalk!$AY$151:$BE$160,7,FALSE),0)+IFERROR(VLOOKUP(FD34,Ettev_kalk!$AY$151:$BF$160,7,FALSE),0))/FD56,0)</f>
        <v>0</v>
      </c>
      <c r="FH50" t="s">
        <v>455</v>
      </c>
      <c r="FK50">
        <f>IFERROR((IFERROR(VLOOKUP(FH34,$A$34:$AD$72,23,FALSE),"0")+IFERROR(VLOOKUP(FI34,$A$34:$AD$72,23,FALSE),"0")+IFERROR(VLOOKUP(FH34,Ettev_kalk!$AY$151:$BE$160,7,FALSE),0)+IFERROR(VLOOKUP(FI34,Ettev_kalk!$AY$151:$BF$160,7,FALSE),0))/FI56,0)</f>
        <v>0</v>
      </c>
      <c r="FM50" t="s">
        <v>455</v>
      </c>
      <c r="FP50">
        <f>IFERROR((IFERROR(VLOOKUP(FM34,$A$34:$AD$72,23,FALSE),"0")+IFERROR(VLOOKUP(FN34,$A$34:$AD$72,23,FALSE),"0")+IFERROR(VLOOKUP(FM34,Ettev_kalk!$AY$151:$BE$160,7,FALSE),0)+IFERROR(VLOOKUP(FN34,Ettev_kalk!$AY$151:$BF$160,7,FALSE),0))/FN56,0)</f>
        <v>0</v>
      </c>
      <c r="FR50" t="s">
        <v>455</v>
      </c>
      <c r="FU50">
        <f>IFERROR((IFERROR(VLOOKUP(FR34,$A$34:$AD$72,23,FALSE),"0")+IFERROR(VLOOKUP(FS34,$A$34:$AD$72,23,FALSE),"0")+IFERROR(VLOOKUP(FR34,Ettev_kalk!$AY$151:$BE$160,7,FALSE),0)+IFERROR(VLOOKUP(FS34,Ettev_kalk!$AY$151:$BF$160,7,FALSE),0))/FS56,0)</f>
        <v>0</v>
      </c>
      <c r="FW50" t="s">
        <v>455</v>
      </c>
      <c r="FZ50">
        <f>IFERROR((IFERROR(VLOOKUP(FW34,$A$34:$AD$72,23,FALSE),"0")+IFERROR(VLOOKUP(FX34,$A$34:$AD$72,23,FALSE),"0")+IFERROR(VLOOKUP(FW34,Ettev_kalk!$AY$151:$BE$160,7,FALSE),0)+IFERROR(VLOOKUP(FX34,Ettev_kalk!$AY$151:$BF$160,7,FALSE),0))/FX56,0)</f>
        <v>0</v>
      </c>
    </row>
    <row r="51" spans="1:182">
      <c r="A51">
        <f>S3</f>
        <v>0</v>
      </c>
      <c r="B51">
        <f>S4</f>
        <v>0</v>
      </c>
      <c r="C51">
        <f>S5</f>
        <v>0</v>
      </c>
      <c r="D51">
        <f>S6</f>
        <v>0</v>
      </c>
      <c r="E51">
        <f>S7</f>
        <v>0</v>
      </c>
      <c r="F51" s="28">
        <f>S8</f>
        <v>0</v>
      </c>
      <c r="G51">
        <f>S9</f>
        <v>0</v>
      </c>
      <c r="H51">
        <f>S10</f>
        <v>0</v>
      </c>
      <c r="I51">
        <f>S11</f>
        <v>0</v>
      </c>
      <c r="J51">
        <f>S12</f>
        <v>0</v>
      </c>
      <c r="K51" s="28">
        <f>S13</f>
        <v>0</v>
      </c>
      <c r="L51">
        <f>S14</f>
        <v>0</v>
      </c>
      <c r="M51" s="28">
        <f>S15</f>
        <v>0</v>
      </c>
      <c r="N51">
        <f>S16</f>
        <v>0</v>
      </c>
      <c r="O51" s="28">
        <f>S17</f>
        <v>0</v>
      </c>
      <c r="P51" s="28">
        <f t="shared" si="14"/>
        <v>0</v>
      </c>
      <c r="Q51" s="28">
        <f t="shared" si="9"/>
        <v>0</v>
      </c>
      <c r="R51" s="28">
        <f t="shared" si="10"/>
        <v>0</v>
      </c>
      <c r="S51" s="28">
        <f t="shared" si="11"/>
        <v>0</v>
      </c>
      <c r="T51" s="28">
        <f t="shared" si="15"/>
        <v>0</v>
      </c>
      <c r="U51">
        <f t="shared" si="16"/>
        <v>0</v>
      </c>
      <c r="V51" s="260" t="e">
        <f>S21</f>
        <v>#DIV/0!</v>
      </c>
      <c r="W51" s="260" t="e">
        <f>S22</f>
        <v>#DIV/0!</v>
      </c>
      <c r="X51">
        <f>S23</f>
        <v>0</v>
      </c>
      <c r="Y51">
        <f>S24</f>
        <v>0</v>
      </c>
      <c r="Z51" s="260" t="e">
        <f>S25</f>
        <v>#DIV/0!</v>
      </c>
      <c r="AA51" s="260" t="e">
        <f>S27</f>
        <v>#DIV/0!</v>
      </c>
      <c r="AB51" t="e">
        <f>S28</f>
        <v>#DIV/0!</v>
      </c>
      <c r="AC51">
        <f>S29</f>
        <v>0</v>
      </c>
      <c r="AD51">
        <f>S30</f>
        <v>0</v>
      </c>
      <c r="AH51" t="s">
        <v>489</v>
      </c>
      <c r="AK51" t="str">
        <f>IFERROR((IFERROR(VLOOKUP(AH34,$A$34:$AD$72,22,FALSE),"0")+IFERROR(VLOOKUP(AI34,$A$34:$AD$72,22,FALSE),"0"))/AI56,"0")</f>
        <v>0</v>
      </c>
      <c r="AM51" t="s">
        <v>489</v>
      </c>
      <c r="AP51" t="str">
        <f>IFERROR((IFERROR(VLOOKUP(AM34,$A$34:$AD$72,22,FALSE),"0")+IFERROR(VLOOKUP(AN34,$A$34:$AD$72,22,FALSE),"0"))/AN56,"0")</f>
        <v>0</v>
      </c>
      <c r="AR51" t="s">
        <v>489</v>
      </c>
      <c r="AU51" t="str">
        <f>IFERROR((IFERROR(VLOOKUP(AR34,$A$34:$AD$72,22,FALSE),"0")+IFERROR(VLOOKUP(AS34,$A$34:$AD$72,22,FALSE),"0"))/AS56,"0")</f>
        <v>0</v>
      </c>
      <c r="AW51" t="s">
        <v>489</v>
      </c>
      <c r="AZ51" t="str">
        <f>IFERROR((IFERROR(VLOOKUP(AW34,$A$34:$AD$72,22,FALSE),"0")+IFERROR(VLOOKUP(AX34,$A$34:$AD$72,22,FALSE),"0"))/AX56,"0")</f>
        <v>0</v>
      </c>
      <c r="BB51" t="s">
        <v>489</v>
      </c>
      <c r="BE51" t="str">
        <f>IFERROR((IFERROR(VLOOKUP(BB34,$A$34:$AD$72,22,FALSE),"0")+IFERROR(VLOOKUP(BC34,$A$34:$AD$72,22,FALSE),"0"))/BC56,"0")</f>
        <v>0</v>
      </c>
      <c r="BG51" t="s">
        <v>489</v>
      </c>
      <c r="BJ51" t="str">
        <f>IFERROR((IFERROR(VLOOKUP(BG34,$A$34:$AD$72,22,FALSE),"0")+IFERROR(VLOOKUP(BH34,$A$34:$AD$72,22,FALSE),"0"))/BH56,"0")</f>
        <v>0</v>
      </c>
      <c r="BL51" t="s">
        <v>489</v>
      </c>
      <c r="BO51" t="str">
        <f>IFERROR((IFERROR(VLOOKUP(BL34,$A$34:$AD$72,22,FALSE),"0")+IFERROR(VLOOKUP(BM34,$A$34:$AD$72,22,FALSE),"0"))/BM56,"0")</f>
        <v>0</v>
      </c>
      <c r="BQ51" t="s">
        <v>489</v>
      </c>
      <c r="BT51" t="str">
        <f>IFERROR((IFERROR(VLOOKUP(BQ34,$A$34:$AD$72,22,FALSE),"0")+IFERROR(VLOOKUP(BR34,$A$34:$AD$72,22,FALSE),"0"))/BR56,"0")</f>
        <v>0</v>
      </c>
      <c r="BV51" t="s">
        <v>489</v>
      </c>
      <c r="BY51" t="str">
        <f>IFERROR((IFERROR(VLOOKUP(BV34,$A$34:$AD$72,22,FALSE),"0")+IFERROR(VLOOKUP(BW34,$A$34:$AD$72,22,FALSE),"0"))/BW56,"0")</f>
        <v>0</v>
      </c>
      <c r="CA51" t="s">
        <v>489</v>
      </c>
      <c r="CD51" t="str">
        <f>IFERROR((IFERROR(VLOOKUP(CA34,$A$34:$AD$72,22,FALSE),"0")+IFERROR(VLOOKUP(CB34,$A$34:$AD$72,22,FALSE),"0"))/CB56,"0")</f>
        <v>0</v>
      </c>
      <c r="CF51" t="s">
        <v>489</v>
      </c>
      <c r="CI51" t="str">
        <f>IFERROR((IFERROR(VLOOKUP(CF34,$A$34:$AD$72,22,FALSE),"0")+IFERROR(VLOOKUP(CG34,$A$34:$AD$72,22,FALSE),"0"))/CG56,"0")</f>
        <v>0</v>
      </c>
      <c r="CK51" t="s">
        <v>489</v>
      </c>
      <c r="CN51" t="str">
        <f>IFERROR((IFERROR(VLOOKUP(CK34,$A$34:$AD$72,22,FALSE),"0")+IFERROR(VLOOKUP(CL34,$A$34:$AD$72,22,FALSE),"0"))/CL56,"0")</f>
        <v>0</v>
      </c>
      <c r="CP51" t="s">
        <v>489</v>
      </c>
      <c r="CS51" t="str">
        <f>IFERROR((IFERROR(VLOOKUP(CP34,$A$34:$AD$72,22,FALSE),"0")+IFERROR(VLOOKUP(CQ34,$A$34:$AD$72,22,FALSE),"0"))/CQ56,"0")</f>
        <v>0</v>
      </c>
      <c r="CU51" t="s">
        <v>489</v>
      </c>
      <c r="CX51" t="str">
        <f>IFERROR((IFERROR(VLOOKUP(CU34,$A$34:$AD$72,22,FALSE),"0")+IFERROR(VLOOKUP(CV34,$A$34:$AD$72,22,FALSE),"0"))/CV56,"0")</f>
        <v>0</v>
      </c>
      <c r="CZ51" t="s">
        <v>489</v>
      </c>
      <c r="DC51" t="str">
        <f>IFERROR((IFERROR(VLOOKUP(CZ34,$A$34:$AD$72,22,FALSE),"0")+IFERROR(VLOOKUP(DA34,$A$34:$AD$72,22,FALSE),"0"))/DA56,"0")</f>
        <v>0</v>
      </c>
      <c r="DE51" t="s">
        <v>489</v>
      </c>
      <c r="DH51" t="str">
        <f>IFERROR((IFERROR(VLOOKUP(DE34,$A$34:$AD$72,22,FALSE),"0")+IFERROR(VLOOKUP(DF34,$A$34:$AD$72,22,FALSE),"0"))/DF56,"0")</f>
        <v>0</v>
      </c>
      <c r="DJ51" t="s">
        <v>489</v>
      </c>
      <c r="DM51" t="str">
        <f>IFERROR((IFERROR(VLOOKUP(DJ34,$A$34:$AD$72,22,FALSE),"0")+IFERROR(VLOOKUP(DK34,$A$34:$AD$72,22,FALSE),"0"))/DK56,"0")</f>
        <v>0</v>
      </c>
      <c r="DO51" t="s">
        <v>489</v>
      </c>
      <c r="DR51" t="str">
        <f>IFERROR((IFERROR(VLOOKUP(DO34,$A$34:$AD$72,22,FALSE),"0")+IFERROR(VLOOKUP(DP34,$A$34:$AD$72,22,FALSE),"0"))/DP56,"0")</f>
        <v>0</v>
      </c>
      <c r="DT51" t="s">
        <v>489</v>
      </c>
      <c r="DW51" t="str">
        <f>IFERROR((IFERROR(VLOOKUP(DT34,$A$34:$AD$72,22,FALSE),"0")+IFERROR(VLOOKUP(DU34,$A$34:$AD$72,22,FALSE),"0"))/DU56,"0")</f>
        <v>0</v>
      </c>
      <c r="DY51" t="s">
        <v>489</v>
      </c>
      <c r="EB51" t="str">
        <f>IFERROR((IFERROR(VLOOKUP(DY34,$A$34:$AD$72,22,FALSE),"0")+IFERROR(VLOOKUP(DZ34,$A$34:$AD$72,22,FALSE),"0"))/DZ56,"0")</f>
        <v>0</v>
      </c>
      <c r="ED51" t="s">
        <v>489</v>
      </c>
      <c r="EG51" t="str">
        <f>IFERROR((IFERROR(VLOOKUP(ED34,$A$34:$AD$72,22,FALSE),"0")+IFERROR(VLOOKUP(EE34,$A$34:$AD$72,22,FALSE),"0"))/EE56,"0")</f>
        <v>0</v>
      </c>
      <c r="EI51" t="s">
        <v>489</v>
      </c>
      <c r="EL51" t="str">
        <f>IFERROR((IFERROR(VLOOKUP(EI34,$A$34:$AD$72,22,FALSE),"0")+IFERROR(VLOOKUP(EJ34,$A$34:$AD$72,22,FALSE),"0"))/EJ56,"0")</f>
        <v>0</v>
      </c>
      <c r="EN51" t="s">
        <v>489</v>
      </c>
      <c r="EQ51" t="str">
        <f>IFERROR((IFERROR(VLOOKUP(EN34,$A$34:$AD$72,22,FALSE),"0")+IFERROR(VLOOKUP(EO34,$A$34:$AD$72,22,FALSE),"0"))/EO56,"0")</f>
        <v>0</v>
      </c>
      <c r="ES51" t="s">
        <v>489</v>
      </c>
      <c r="EV51" t="str">
        <f>IFERROR((IFERROR(VLOOKUP(ES34,$A$34:$AD$72,22,FALSE),"0")+IFERROR(VLOOKUP(ET34,$A$34:$AD$72,22,FALSE),"0"))/ET56,"0")</f>
        <v>0</v>
      </c>
      <c r="EX51" t="s">
        <v>489</v>
      </c>
      <c r="FA51" t="str">
        <f>IFERROR((IFERROR(VLOOKUP(EX34,$A$34:$AD$72,22,FALSE),"0")+IFERROR(VLOOKUP(EY34,$A$34:$AD$72,22,FALSE),"0"))/EY56,"0")</f>
        <v>0</v>
      </c>
      <c r="FC51" t="s">
        <v>489</v>
      </c>
      <c r="FF51" t="str">
        <f>IFERROR((IFERROR(VLOOKUP(FC34,$A$34:$AD$72,22,FALSE),"0")+IFERROR(VLOOKUP(FD34,$A$34:$AD$72,22,FALSE),"0"))/FD56,"0")</f>
        <v>0</v>
      </c>
      <c r="FH51" t="s">
        <v>489</v>
      </c>
      <c r="FK51" t="str">
        <f>IFERROR((IFERROR(VLOOKUP(FH34,$A$34:$AD$72,22,FALSE),"0")+IFERROR(VLOOKUP(FI34,$A$34:$AD$72,22,FALSE),"0"))/FI56,"0")</f>
        <v>0</v>
      </c>
      <c r="FM51" t="s">
        <v>489</v>
      </c>
      <c r="FP51" t="str">
        <f>IFERROR((IFERROR(VLOOKUP(FM34,$A$34:$AD$72,22,FALSE),"0")+IFERROR(VLOOKUP(FN34,$A$34:$AD$72,22,FALSE),"0"))/FN56,"0")</f>
        <v>0</v>
      </c>
      <c r="FR51" t="s">
        <v>489</v>
      </c>
      <c r="FU51" t="str">
        <f>IFERROR((IFERROR(VLOOKUP(FR34,$A$34:$AD$72,22,FALSE),"0")+IFERROR(VLOOKUP(FS34,$A$34:$AD$72,22,FALSE),"0"))/FS56,"0")</f>
        <v>0</v>
      </c>
      <c r="FW51" t="s">
        <v>489</v>
      </c>
      <c r="FZ51" t="str">
        <f>IFERROR((IFERROR(VLOOKUP(FW34,$A$34:$AD$72,22,FALSE),"0")+IFERROR(VLOOKUP(FX34,$A$34:$AD$72,22,FALSE),"0"))/FX56,"0")</f>
        <v>0</v>
      </c>
    </row>
    <row r="52" spans="1:182">
      <c r="A52">
        <f>T3</f>
        <v>0</v>
      </c>
      <c r="B52">
        <f>T4</f>
        <v>0</v>
      </c>
      <c r="C52">
        <f>T5</f>
        <v>0</v>
      </c>
      <c r="D52">
        <f>T6</f>
        <v>0</v>
      </c>
      <c r="E52">
        <f>T7</f>
        <v>0</v>
      </c>
      <c r="F52" s="28">
        <f>T8</f>
        <v>0</v>
      </c>
      <c r="G52">
        <f>T9</f>
        <v>0</v>
      </c>
      <c r="H52">
        <f>T10</f>
        <v>0</v>
      </c>
      <c r="I52">
        <f>T11</f>
        <v>0</v>
      </c>
      <c r="J52">
        <f>T12</f>
        <v>0</v>
      </c>
      <c r="K52" s="28">
        <f>T13</f>
        <v>0</v>
      </c>
      <c r="L52">
        <f>T14</f>
        <v>0</v>
      </c>
      <c r="M52" s="28">
        <f>T15</f>
        <v>0</v>
      </c>
      <c r="N52">
        <f>T16</f>
        <v>0</v>
      </c>
      <c r="O52" s="28">
        <f>T17</f>
        <v>0</v>
      </c>
      <c r="P52" s="28">
        <f t="shared" si="14"/>
        <v>0</v>
      </c>
      <c r="Q52" s="28">
        <f t="shared" si="9"/>
        <v>0</v>
      </c>
      <c r="R52" s="28">
        <f t="shared" si="10"/>
        <v>0</v>
      </c>
      <c r="S52" s="28">
        <f t="shared" si="11"/>
        <v>0</v>
      </c>
      <c r="T52" s="28">
        <f t="shared" si="15"/>
        <v>0</v>
      </c>
      <c r="U52">
        <f t="shared" si="16"/>
        <v>0</v>
      </c>
      <c r="V52" s="260" t="e">
        <f>T21</f>
        <v>#DIV/0!</v>
      </c>
      <c r="W52" s="260" t="e">
        <f>T22</f>
        <v>#DIV/0!</v>
      </c>
      <c r="X52">
        <f>T23</f>
        <v>0</v>
      </c>
      <c r="Y52">
        <f>T24</f>
        <v>0</v>
      </c>
      <c r="Z52" s="260" t="e">
        <f>T25</f>
        <v>#DIV/0!</v>
      </c>
      <c r="AA52" s="260" t="e">
        <f>T27</f>
        <v>#DIV/0!</v>
      </c>
      <c r="AB52" t="e">
        <f>T28</f>
        <v>#DIV/0!</v>
      </c>
      <c r="AC52">
        <f>T29</f>
        <v>0</v>
      </c>
      <c r="AD52">
        <f>T30</f>
        <v>0</v>
      </c>
      <c r="AH52" t="s">
        <v>480</v>
      </c>
      <c r="AK52">
        <f>IFERROR((IFERROR(VLOOKUP(AH34,$A$34:$AD$72,26,FALSE),"0")+IFERROR(VLOOKUP(AI34,$A$34:$AD$72,26,FALSE),"0"))/AI56,0)</f>
        <v>0</v>
      </c>
      <c r="AM52" t="s">
        <v>480</v>
      </c>
      <c r="AP52">
        <f>IFERROR((IFERROR(VLOOKUP(AM34,$A$34:$AD$72,26,FALSE),"0")+IFERROR(VLOOKUP(AN34,$A$34:$AD$72,26,FALSE),"0"))/AN56,0)</f>
        <v>0</v>
      </c>
      <c r="AR52" t="s">
        <v>480</v>
      </c>
      <c r="AU52">
        <f>IFERROR((IFERROR(VLOOKUP(AR34,$A$34:$AD$72,26,FALSE),"0")+IFERROR(VLOOKUP(AS34,$A$34:$AD$72,26,FALSE),"0"))/AS56,0)</f>
        <v>0</v>
      </c>
      <c r="AW52" t="s">
        <v>480</v>
      </c>
      <c r="AZ52">
        <f>IFERROR((IFERROR(VLOOKUP(AW34,$A$34:$AD$72,26,FALSE),"0")+IFERROR(VLOOKUP(AX34,$A$34:$AD$72,26,FALSE),"0"))/AX56,0)</f>
        <v>0</v>
      </c>
      <c r="BB52" t="s">
        <v>480</v>
      </c>
      <c r="BE52">
        <f>IFERROR((IFERROR(VLOOKUP(BB34,$A$34:$AD$72,26,FALSE),"0")+IFERROR(VLOOKUP(BC34,$A$34:$AD$72,26,FALSE),"0"))/BC56,0)</f>
        <v>0</v>
      </c>
      <c r="BG52" t="s">
        <v>480</v>
      </c>
      <c r="BJ52">
        <f>IFERROR((IFERROR(VLOOKUP(BG34,$A$34:$AD$72,26,FALSE),"0")+IFERROR(VLOOKUP(BH34,$A$34:$AD$72,26,FALSE),"0"))/BH56,0)</f>
        <v>0</v>
      </c>
      <c r="BL52" t="s">
        <v>480</v>
      </c>
      <c r="BO52">
        <f>IFERROR((IFERROR(VLOOKUP(BL34,$A$34:$AD$72,26,FALSE),"0")+IFERROR(VLOOKUP(BM34,$A$34:$AD$72,26,FALSE),"0"))/BM56,0)</f>
        <v>0</v>
      </c>
      <c r="BQ52" t="s">
        <v>480</v>
      </c>
      <c r="BT52">
        <f>IFERROR((IFERROR(VLOOKUP(BQ34,$A$34:$AD$72,26,FALSE),"0")+IFERROR(VLOOKUP(BR34,$A$34:$AD$72,26,FALSE),"0"))/BR56,0)</f>
        <v>0</v>
      </c>
      <c r="BV52" t="s">
        <v>480</v>
      </c>
      <c r="BY52">
        <f>IFERROR((IFERROR(VLOOKUP(BV34,$A$34:$AD$72,26,FALSE),"0")+IFERROR(VLOOKUP(BW34,$A$34:$AD$72,26,FALSE),"0"))/BW56,0)</f>
        <v>0</v>
      </c>
      <c r="CA52" t="s">
        <v>480</v>
      </c>
      <c r="CD52">
        <f>IFERROR((IFERROR(VLOOKUP(CA34,$A$34:$AD$72,26,FALSE),"0")+IFERROR(VLOOKUP(CB34,$A$34:$AD$72,26,FALSE),"0"))/CB56,0)</f>
        <v>0</v>
      </c>
      <c r="CF52" t="s">
        <v>480</v>
      </c>
      <c r="CI52">
        <f>IFERROR((IFERROR(VLOOKUP(CF34,$A$34:$AD$72,26,FALSE),"0")+IFERROR(VLOOKUP(CG34,$A$34:$AD$72,26,FALSE),"0"))/CG56,0)</f>
        <v>0</v>
      </c>
      <c r="CK52" t="s">
        <v>480</v>
      </c>
      <c r="CN52">
        <f>IFERROR((IFERROR(VLOOKUP(CK34,$A$34:$AD$72,26,FALSE),"0")+IFERROR(VLOOKUP(CL34,$A$34:$AD$72,26,FALSE),"0"))/CL56,0)</f>
        <v>0</v>
      </c>
      <c r="CP52" t="s">
        <v>480</v>
      </c>
      <c r="CS52">
        <f>IFERROR((IFERROR(VLOOKUP(CP34,$A$34:$AD$72,26,FALSE),"0")+IFERROR(VLOOKUP(CQ34,$A$34:$AD$72,26,FALSE),"0"))/CQ56,0)</f>
        <v>0</v>
      </c>
      <c r="CU52" t="s">
        <v>480</v>
      </c>
      <c r="CX52">
        <f>IFERROR((IFERROR(VLOOKUP(CU34,$A$34:$AD$72,26,FALSE),"0")+IFERROR(VLOOKUP(CV34,$A$34:$AD$72,26,FALSE),"0"))/CV56,0)</f>
        <v>0</v>
      </c>
      <c r="CZ52" t="s">
        <v>480</v>
      </c>
      <c r="DC52">
        <f>IFERROR((IFERROR(VLOOKUP(CZ34,$A$34:$AD$72,26,FALSE),"0")+IFERROR(VLOOKUP(DA34,$A$34:$AD$72,26,FALSE),"0"))/DA56,0)</f>
        <v>0</v>
      </c>
      <c r="DE52" t="s">
        <v>480</v>
      </c>
      <c r="DH52">
        <f>IFERROR((IFERROR(VLOOKUP(DE34,$A$34:$AD$72,26,FALSE),"0")+IFERROR(VLOOKUP(DF34,$A$34:$AD$72,26,FALSE),"0"))/DF56,0)</f>
        <v>0</v>
      </c>
      <c r="DJ52" t="s">
        <v>480</v>
      </c>
      <c r="DM52">
        <f>IFERROR((IFERROR(VLOOKUP(DJ34,$A$34:$AD$72,26,FALSE),"0")+IFERROR(VLOOKUP(DK34,$A$34:$AD$72,26,FALSE),"0"))/DK56,0)</f>
        <v>0</v>
      </c>
      <c r="DO52" t="s">
        <v>480</v>
      </c>
      <c r="DR52">
        <f>IFERROR((IFERROR(VLOOKUP(DO34,$A$34:$AD$72,26,FALSE),"0")+IFERROR(VLOOKUP(DP34,$A$34:$AD$72,26,FALSE),"0"))/DP56,0)</f>
        <v>0</v>
      </c>
      <c r="DT52" t="s">
        <v>480</v>
      </c>
      <c r="DW52">
        <f>IFERROR((IFERROR(VLOOKUP(DT34,$A$34:$AD$72,26,FALSE),"0")+IFERROR(VLOOKUP(DU34,$A$34:$AD$72,26,FALSE),"0"))/DU56,0)</f>
        <v>0</v>
      </c>
      <c r="DY52" t="s">
        <v>480</v>
      </c>
      <c r="EB52">
        <f>IFERROR((IFERROR(VLOOKUP(DY34,$A$34:$AD$72,26,FALSE),"0")+IFERROR(VLOOKUP(DZ34,$A$34:$AD$72,26,FALSE),"0"))/DZ56,0)</f>
        <v>0</v>
      </c>
      <c r="ED52" t="s">
        <v>480</v>
      </c>
      <c r="EG52">
        <f>IFERROR((IFERROR(VLOOKUP(ED34,$A$34:$AD$72,26,FALSE),"0")+IFERROR(VLOOKUP(EE34,$A$34:$AD$72,26,FALSE),"0"))/EE56,0)</f>
        <v>0</v>
      </c>
      <c r="EI52" t="s">
        <v>480</v>
      </c>
      <c r="EL52">
        <f>IFERROR((IFERROR(VLOOKUP(EI34,$A$34:$AD$72,26,FALSE),"0")+IFERROR(VLOOKUP(EJ34,$A$34:$AD$72,26,FALSE),"0"))/EJ56,0)</f>
        <v>0</v>
      </c>
      <c r="EN52" t="s">
        <v>480</v>
      </c>
      <c r="EQ52">
        <f>IFERROR((IFERROR(VLOOKUP(EN34,$A$34:$AD$72,26,FALSE),"0")+IFERROR(VLOOKUP(EO34,$A$34:$AD$72,26,FALSE),"0"))/EO56,0)</f>
        <v>0</v>
      </c>
      <c r="ES52" t="s">
        <v>480</v>
      </c>
      <c r="EV52">
        <f>IFERROR((IFERROR(VLOOKUP(ES34,$A$34:$AD$72,26,FALSE),"0")+IFERROR(VLOOKUP(ET34,$A$34:$AD$72,26,FALSE),"0"))/ET56,0)</f>
        <v>0</v>
      </c>
      <c r="EX52" t="s">
        <v>480</v>
      </c>
      <c r="FA52">
        <f>IFERROR((IFERROR(VLOOKUP(EX34,$A$34:$AD$72,26,FALSE),"0")+IFERROR(VLOOKUP(EY34,$A$34:$AD$72,26,FALSE),"0"))/EY56,0)</f>
        <v>0</v>
      </c>
      <c r="FC52" t="s">
        <v>480</v>
      </c>
      <c r="FF52">
        <f>IFERROR((IFERROR(VLOOKUP(FC34,$A$34:$AD$72,26,FALSE),"0")+IFERROR(VLOOKUP(FD34,$A$34:$AD$72,26,FALSE),"0"))/FD56,0)</f>
        <v>0</v>
      </c>
      <c r="FH52" t="s">
        <v>480</v>
      </c>
      <c r="FK52">
        <f>IFERROR((IFERROR(VLOOKUP(FH34,$A$34:$AD$72,26,FALSE),"0")+IFERROR(VLOOKUP(FI34,$A$34:$AD$72,26,FALSE),"0"))/FI56,0)</f>
        <v>0</v>
      </c>
      <c r="FM52" t="s">
        <v>480</v>
      </c>
      <c r="FP52">
        <f>IFERROR((IFERROR(VLOOKUP(FM34,$A$34:$AD$72,26,FALSE),"0")+IFERROR(VLOOKUP(FN34,$A$34:$AD$72,26,FALSE),"0"))/FN56,0)</f>
        <v>0</v>
      </c>
      <c r="FR52" t="s">
        <v>480</v>
      </c>
      <c r="FU52">
        <f>IFERROR((IFERROR(VLOOKUP(FR34,$A$34:$AD$72,26,FALSE),"0")+IFERROR(VLOOKUP(FS34,$A$34:$AD$72,26,FALSE),"0"))/FS56,0)</f>
        <v>0</v>
      </c>
      <c r="FW52" t="s">
        <v>480</v>
      </c>
      <c r="FZ52">
        <f>IFERROR((IFERROR(VLOOKUP(FW34,$A$34:$AD$72,26,FALSE),"0")+IFERROR(VLOOKUP(FX34,$A$34:$AD$72,26,FALSE),"0"))/FX56,0)</f>
        <v>0</v>
      </c>
    </row>
    <row r="53" spans="1:182">
      <c r="A53">
        <f>U3</f>
        <v>0</v>
      </c>
      <c r="B53">
        <f>U4</f>
        <v>0</v>
      </c>
      <c r="C53">
        <f>U5</f>
        <v>0</v>
      </c>
      <c r="D53">
        <f>U6</f>
        <v>0</v>
      </c>
      <c r="E53">
        <f>U7</f>
        <v>0</v>
      </c>
      <c r="F53" s="28">
        <f>U8</f>
        <v>0</v>
      </c>
      <c r="G53">
        <f>U9</f>
        <v>0</v>
      </c>
      <c r="H53">
        <f>U10</f>
        <v>0</v>
      </c>
      <c r="I53">
        <f>U11</f>
        <v>0</v>
      </c>
      <c r="J53">
        <f>U12</f>
        <v>0</v>
      </c>
      <c r="K53" s="28">
        <f>U13</f>
        <v>0</v>
      </c>
      <c r="L53">
        <f>U14</f>
        <v>0</v>
      </c>
      <c r="M53" s="28">
        <f>U15</f>
        <v>0</v>
      </c>
      <c r="N53">
        <f>U16</f>
        <v>0</v>
      </c>
      <c r="O53" s="28">
        <f>U17</f>
        <v>0</v>
      </c>
      <c r="P53" s="28">
        <f t="shared" si="14"/>
        <v>0</v>
      </c>
      <c r="Q53" s="28">
        <f t="shared" si="9"/>
        <v>0</v>
      </c>
      <c r="R53" s="28">
        <f t="shared" si="10"/>
        <v>0</v>
      </c>
      <c r="S53" s="28">
        <f t="shared" si="11"/>
        <v>0</v>
      </c>
      <c r="T53" s="28">
        <f t="shared" si="15"/>
        <v>0</v>
      </c>
      <c r="U53">
        <f t="shared" si="16"/>
        <v>0</v>
      </c>
      <c r="V53" s="260" t="e">
        <f>U21</f>
        <v>#DIV/0!</v>
      </c>
      <c r="W53" s="260" t="e">
        <f>U22</f>
        <v>#DIV/0!</v>
      </c>
      <c r="X53">
        <f>U23</f>
        <v>0</v>
      </c>
      <c r="Y53">
        <f>U24</f>
        <v>0</v>
      </c>
      <c r="Z53" s="260" t="e">
        <f>U25</f>
        <v>#DIV/0!</v>
      </c>
      <c r="AA53" s="260" t="e">
        <f>U27</f>
        <v>#DIV/0!</v>
      </c>
      <c r="AB53" t="e">
        <f>U28</f>
        <v>#DIV/0!</v>
      </c>
      <c r="AC53">
        <f>U29</f>
        <v>0</v>
      </c>
      <c r="AD53">
        <f>U30</f>
        <v>0</v>
      </c>
      <c r="AH53" t="s">
        <v>453</v>
      </c>
      <c r="AK53" t="str">
        <f>IFERROR((IFERROR(VLOOKUP(AH34,$A$34:$AD$72,28,FALSE),"0")+IFERROR(VLOOKUP(AI34,$A$34:$AD$72,28,FALSE),"0"))/AI56,"0")</f>
        <v>0</v>
      </c>
      <c r="AM53" t="s">
        <v>453</v>
      </c>
      <c r="AP53" t="str">
        <f>IFERROR((IFERROR(VLOOKUP(AM34,$A$34:$AD$72,28,FALSE),"0")+IFERROR(VLOOKUP(AN34,$A$34:$AD$72,28,FALSE),"0"))/AN56,"0")</f>
        <v>0</v>
      </c>
      <c r="AR53" t="s">
        <v>453</v>
      </c>
      <c r="AU53" t="str">
        <f>IFERROR((IFERROR(VLOOKUP(AR34,$A$34:$AD$72,28,FALSE),"0")+IFERROR(VLOOKUP(AS34,$A$34:$AD$72,28,FALSE),"0"))/AS56,"0")</f>
        <v>0</v>
      </c>
      <c r="AW53" t="s">
        <v>453</v>
      </c>
      <c r="AZ53" t="str">
        <f>IFERROR((IFERROR(VLOOKUP(AW34,$A$34:$AD$72,28,FALSE),"0")+IFERROR(VLOOKUP(AX34,$A$34:$AD$72,28,FALSE),"0"))/AX56,"0")</f>
        <v>0</v>
      </c>
      <c r="BB53" t="s">
        <v>453</v>
      </c>
      <c r="BE53" t="str">
        <f>IFERROR((IFERROR(VLOOKUP(BB34,$A$34:$AD$72,28,FALSE),"0")+IFERROR(VLOOKUP(BC34,$A$34:$AD$72,28,FALSE),"0"))/BC56,"0")</f>
        <v>0</v>
      </c>
      <c r="BG53" t="s">
        <v>453</v>
      </c>
      <c r="BJ53" t="str">
        <f>IFERROR((IFERROR(VLOOKUP(BG34,$A$34:$AD$72,28,FALSE),"0")+IFERROR(VLOOKUP(BH34,$A$34:$AD$72,28,FALSE),"0"))/BH56,"0")</f>
        <v>0</v>
      </c>
      <c r="BL53" t="s">
        <v>453</v>
      </c>
      <c r="BO53" t="str">
        <f>IFERROR((IFERROR(VLOOKUP(BL34,$A$34:$AD$72,28,FALSE),"0")+IFERROR(VLOOKUP(BM34,$A$34:$AD$72,28,FALSE),"0"))/BM56,"0")</f>
        <v>0</v>
      </c>
      <c r="BQ53" t="s">
        <v>453</v>
      </c>
      <c r="BT53" t="str">
        <f>IFERROR((IFERROR(VLOOKUP(BQ34,$A$34:$AD$72,28,FALSE),"0")+IFERROR(VLOOKUP(BR34,$A$34:$AD$72,28,FALSE),"0"))/BR56,"0")</f>
        <v>0</v>
      </c>
      <c r="BV53" t="s">
        <v>453</v>
      </c>
      <c r="BY53" t="str">
        <f>IFERROR((IFERROR(VLOOKUP(BV34,$A$34:$AD$72,28,FALSE),"0")+IFERROR(VLOOKUP(BW34,$A$34:$AD$72,28,FALSE),"0"))/BW56,"0")</f>
        <v>0</v>
      </c>
      <c r="CA53" t="s">
        <v>453</v>
      </c>
      <c r="CD53" t="str">
        <f>IFERROR((IFERROR(VLOOKUP(CA34,$A$34:$AD$72,28,FALSE),"0")+IFERROR(VLOOKUP(CB34,$A$34:$AD$72,28,FALSE),"0"))/CB56,"0")</f>
        <v>0</v>
      </c>
      <c r="CF53" t="s">
        <v>453</v>
      </c>
      <c r="CI53" t="str">
        <f>IFERROR((IFERROR(VLOOKUP(CF34,$A$34:$AD$72,28,FALSE),"0")+IFERROR(VLOOKUP(CG34,$A$34:$AD$72,28,FALSE),"0"))/CG56,"0")</f>
        <v>0</v>
      </c>
      <c r="CK53" t="s">
        <v>453</v>
      </c>
      <c r="CN53" t="str">
        <f>IFERROR((IFERROR(VLOOKUP(CK34,$A$34:$AD$72,28,FALSE),"0")+IFERROR(VLOOKUP(CL34,$A$34:$AD$72,28,FALSE),"0"))/CL56,"0")</f>
        <v>0</v>
      </c>
      <c r="CP53" t="s">
        <v>453</v>
      </c>
      <c r="CS53" t="str">
        <f>IFERROR((IFERROR(VLOOKUP(CP34,$A$34:$AD$72,28,FALSE),"0")+IFERROR(VLOOKUP(CQ34,$A$34:$AD$72,28,FALSE),"0"))/CQ56,"0")</f>
        <v>0</v>
      </c>
      <c r="CU53" t="s">
        <v>453</v>
      </c>
      <c r="CX53" t="str">
        <f>IFERROR((IFERROR(VLOOKUP(CU34,$A$34:$AD$72,28,FALSE),"0")+IFERROR(VLOOKUP(CV34,$A$34:$AD$72,28,FALSE),"0"))/CV56,"0")</f>
        <v>0</v>
      </c>
      <c r="CZ53" t="s">
        <v>453</v>
      </c>
      <c r="DC53" t="str">
        <f>IFERROR((IFERROR(VLOOKUP(CZ34,$A$34:$AD$72,28,FALSE),"0")+IFERROR(VLOOKUP(DA34,$A$34:$AD$72,28,FALSE),"0"))/DA56,"0")</f>
        <v>0</v>
      </c>
      <c r="DE53" t="s">
        <v>453</v>
      </c>
      <c r="DH53" t="str">
        <f>IFERROR((IFERROR(VLOOKUP(DE34,$A$34:$AD$72,28,FALSE),"0")+IFERROR(VLOOKUP(DF34,$A$34:$AD$72,28,FALSE),"0"))/DF56,"0")</f>
        <v>0</v>
      </c>
      <c r="DJ53" t="s">
        <v>453</v>
      </c>
      <c r="DM53" t="str">
        <f>IFERROR((IFERROR(VLOOKUP(DJ34,$A$34:$AD$72,28,FALSE),"0")+IFERROR(VLOOKUP(DK34,$A$34:$AD$72,28,FALSE),"0"))/DK56,"0")</f>
        <v>0</v>
      </c>
      <c r="DO53" t="s">
        <v>453</v>
      </c>
      <c r="DR53" t="str">
        <f>IFERROR((IFERROR(VLOOKUP(DO34,$A$34:$AD$72,28,FALSE),"0")+IFERROR(VLOOKUP(DP34,$A$34:$AD$72,28,FALSE),"0"))/DP56,"0")</f>
        <v>0</v>
      </c>
      <c r="DT53" t="s">
        <v>453</v>
      </c>
      <c r="DW53" t="str">
        <f>IFERROR((IFERROR(VLOOKUP(DT34,$A$34:$AD$72,28,FALSE),"0")+IFERROR(VLOOKUP(DU34,$A$34:$AD$72,28,FALSE),"0"))/DU56,"0")</f>
        <v>0</v>
      </c>
      <c r="DY53" t="s">
        <v>453</v>
      </c>
      <c r="EB53" t="str">
        <f>IFERROR((IFERROR(VLOOKUP(DY34,$A$34:$AD$72,28,FALSE),"0")+IFERROR(VLOOKUP(DZ34,$A$34:$AD$72,28,FALSE),"0"))/DZ56,"0")</f>
        <v>0</v>
      </c>
      <c r="ED53" t="s">
        <v>453</v>
      </c>
      <c r="EG53" t="str">
        <f>IFERROR((IFERROR(VLOOKUP(ED34,$A$34:$AD$72,28,FALSE),"0")+IFERROR(VLOOKUP(EE34,$A$34:$AD$72,28,FALSE),"0"))/EE56,"0")</f>
        <v>0</v>
      </c>
      <c r="EI53" t="s">
        <v>453</v>
      </c>
      <c r="EL53" t="str">
        <f>IFERROR((IFERROR(VLOOKUP(EI34,$A$34:$AD$72,28,FALSE),"0")+IFERROR(VLOOKUP(EJ34,$A$34:$AD$72,28,FALSE),"0"))/EJ56,"0")</f>
        <v>0</v>
      </c>
      <c r="EN53" t="s">
        <v>453</v>
      </c>
      <c r="EQ53" t="str">
        <f>IFERROR((IFERROR(VLOOKUP(EN34,$A$34:$AD$72,28,FALSE),"0")+IFERROR(VLOOKUP(EO34,$A$34:$AD$72,28,FALSE),"0"))/EO56,"0")</f>
        <v>0</v>
      </c>
      <c r="ES53" t="s">
        <v>453</v>
      </c>
      <c r="EV53" t="str">
        <f>IFERROR((IFERROR(VLOOKUP(ES34,$A$34:$AD$72,28,FALSE),"0")+IFERROR(VLOOKUP(ET34,$A$34:$AD$72,28,FALSE),"0"))/ET56,"0")</f>
        <v>0</v>
      </c>
      <c r="EX53" t="s">
        <v>453</v>
      </c>
      <c r="FA53" t="str">
        <f>IFERROR((IFERROR(VLOOKUP(EX34,$A$34:$AD$72,28,FALSE),"0")+IFERROR(VLOOKUP(EY34,$A$34:$AD$72,28,FALSE),"0"))/EY56,"0")</f>
        <v>0</v>
      </c>
      <c r="FC53" t="s">
        <v>453</v>
      </c>
      <c r="FF53" t="str">
        <f>IFERROR((IFERROR(VLOOKUP(FC34,$A$34:$AD$72,28,FALSE),"0")+IFERROR(VLOOKUP(FD34,$A$34:$AD$72,28,FALSE),"0"))/FD56,"0")</f>
        <v>0</v>
      </c>
      <c r="FH53" t="s">
        <v>453</v>
      </c>
      <c r="FK53" t="str">
        <f>IFERROR((IFERROR(VLOOKUP(FH34,$A$34:$AD$72,28,FALSE),"0")+IFERROR(VLOOKUP(FI34,$A$34:$AD$72,28,FALSE),"0"))/FI56,"0")</f>
        <v>0</v>
      </c>
      <c r="FM53" t="s">
        <v>453</v>
      </c>
      <c r="FP53" t="str">
        <f>IFERROR((IFERROR(VLOOKUP(FM34,$A$34:$AD$72,28,FALSE),"0")+IFERROR(VLOOKUP(FN34,$A$34:$AD$72,28,FALSE),"0"))/FN56,"0")</f>
        <v>0</v>
      </c>
      <c r="FR53" t="s">
        <v>453</v>
      </c>
      <c r="FU53" t="str">
        <f>IFERROR((IFERROR(VLOOKUP(FR34,$A$34:$AD$72,28,FALSE),"0")+IFERROR(VLOOKUP(FS34,$A$34:$AD$72,28,FALSE),"0"))/FS56,"0")</f>
        <v>0</v>
      </c>
      <c r="FW53" t="s">
        <v>453</v>
      </c>
      <c r="FZ53" t="str">
        <f>IFERROR((IFERROR(VLOOKUP(FW34,$A$34:$AD$72,28,FALSE),"0")+IFERROR(VLOOKUP(FX34,$A$34:$AD$72,28,FALSE),"0"))/FX56,"0")</f>
        <v>0</v>
      </c>
    </row>
    <row r="54" spans="1:182">
      <c r="A54">
        <f>V3</f>
        <v>0</v>
      </c>
      <c r="B54">
        <f>V4</f>
        <v>0</v>
      </c>
      <c r="C54">
        <f>V5</f>
        <v>0</v>
      </c>
      <c r="D54">
        <f>V6</f>
        <v>0</v>
      </c>
      <c r="E54">
        <f>V7</f>
        <v>0</v>
      </c>
      <c r="F54" s="28">
        <f>V8</f>
        <v>0</v>
      </c>
      <c r="G54">
        <f>V9</f>
        <v>0</v>
      </c>
      <c r="H54">
        <f>V10</f>
        <v>0</v>
      </c>
      <c r="I54">
        <f>V11</f>
        <v>0</v>
      </c>
      <c r="J54">
        <f>V12</f>
        <v>0</v>
      </c>
      <c r="K54" s="28">
        <f>V13</f>
        <v>0</v>
      </c>
      <c r="L54">
        <f>V14</f>
        <v>0</v>
      </c>
      <c r="M54" s="28">
        <f>V15</f>
        <v>0</v>
      </c>
      <c r="N54">
        <f>V16</f>
        <v>0</v>
      </c>
      <c r="O54" s="28">
        <f>V17</f>
        <v>0</v>
      </c>
      <c r="P54" s="28">
        <f t="shared" si="14"/>
        <v>0</v>
      </c>
      <c r="Q54" s="28">
        <f t="shared" si="9"/>
        <v>0</v>
      </c>
      <c r="R54" s="28">
        <f t="shared" si="10"/>
        <v>0</v>
      </c>
      <c r="S54" s="28">
        <f t="shared" si="11"/>
        <v>0</v>
      </c>
      <c r="T54" s="28">
        <f t="shared" si="15"/>
        <v>0</v>
      </c>
      <c r="U54">
        <f t="shared" si="16"/>
        <v>0</v>
      </c>
      <c r="V54" s="260">
        <f>V21</f>
        <v>0</v>
      </c>
      <c r="W54" s="260">
        <f>V22</f>
        <v>0</v>
      </c>
      <c r="X54">
        <f>V23</f>
        <v>0</v>
      </c>
      <c r="Y54">
        <f>V24</f>
        <v>0</v>
      </c>
      <c r="Z54" s="260">
        <f>V25</f>
        <v>0</v>
      </c>
      <c r="AA54" s="260" t="e">
        <f>V27</f>
        <v>#DIV/0!</v>
      </c>
      <c r="AB54">
        <f>V28</f>
        <v>0</v>
      </c>
      <c r="AC54">
        <f>V29</f>
        <v>0</v>
      </c>
      <c r="AD54">
        <f>V30</f>
        <v>0</v>
      </c>
      <c r="AH54" t="s">
        <v>408</v>
      </c>
      <c r="AK54">
        <f>IFERROR((-(IFERROR(VLOOKUP(AH34,$L$126:$M$165,2,FALSE),"0")+IFERROR(VLOOKUP(AI34,$L$126:$M$165,2,FALSE),"0")))*1000/AI56,0)</f>
        <v>0</v>
      </c>
      <c r="AM54" t="s">
        <v>408</v>
      </c>
      <c r="AP54">
        <f>IFERROR((-(IFERROR(VLOOKUP(AM34,$L$126:$M$165,2,FALSE),"0")+IFERROR(VLOOKUP(AN34,$L$126:$M$165,2,FALSE),"0")))*1000/AN56,0)</f>
        <v>0</v>
      </c>
      <c r="AR54" t="s">
        <v>408</v>
      </c>
      <c r="AU54">
        <f>IFERROR((-(IFERROR(VLOOKUP(AR34,$L$126:$M$165,2,FALSE),"0")+IFERROR(VLOOKUP(AS34,$L$126:$M$165,2,FALSE),"0")))*1000/AS56,0)</f>
        <v>0</v>
      </c>
      <c r="AW54" t="s">
        <v>408</v>
      </c>
      <c r="AZ54">
        <f>IFERROR((-(IFERROR(VLOOKUP(AW34,$L$126:$M$165,2,FALSE),"0")+IFERROR(VLOOKUP(AX34,$L$126:$M$165,2,FALSE),"0")))*1000/AX56,0)</f>
        <v>0</v>
      </c>
      <c r="BB54" t="s">
        <v>408</v>
      </c>
      <c r="BE54">
        <f>IFERROR((-(IFERROR(VLOOKUP(BB34,$L$126:$M$165,2,FALSE),"0")+IFERROR(VLOOKUP(BC34,$L$126:$M$165,2,FALSE),"0")))*1000/BC56,0)</f>
        <v>0</v>
      </c>
      <c r="BG54" t="s">
        <v>408</v>
      </c>
      <c r="BJ54">
        <f>IFERROR((-(IFERROR(VLOOKUP(BG34,$L$126:$M$165,2,FALSE),"0")+IFERROR(VLOOKUP(BH34,$L$126:$M$165,2,FALSE),"0")))*1000/BH56,0)</f>
        <v>0</v>
      </c>
      <c r="BL54" t="s">
        <v>408</v>
      </c>
      <c r="BO54">
        <f>IFERROR((-(IFERROR(VLOOKUP(BL34,$L$126:$M$165,2,FALSE),"0")+IFERROR(VLOOKUP(BM34,$L$126:$M$165,2,FALSE),"0")))*1000/BM56,0)</f>
        <v>0</v>
      </c>
      <c r="BQ54" t="s">
        <v>408</v>
      </c>
      <c r="BT54">
        <f>IFERROR((-(IFERROR(VLOOKUP(BQ34,$L$126:$M$165,2,FALSE),"0")+IFERROR(VLOOKUP(BR34,$L$126:$M$165,2,FALSE),"0")))*1000/BR56,0)</f>
        <v>0</v>
      </c>
      <c r="BV54" t="s">
        <v>408</v>
      </c>
      <c r="BY54">
        <f>IFERROR((-(IFERROR(VLOOKUP(BV34,$L$126:$M$165,2,FALSE),"0")+IFERROR(VLOOKUP(BW34,$L$126:$M$165,2,FALSE),"0")))*1000/BW56,0)</f>
        <v>0</v>
      </c>
      <c r="CA54" t="s">
        <v>408</v>
      </c>
      <c r="CD54">
        <f>IFERROR((-(IFERROR(VLOOKUP(CA34,$L$126:$M$165,2,FALSE),"0")+IFERROR(VLOOKUP(CB34,$L$126:$M$165,2,FALSE),"0")))*1000/CB56,0)</f>
        <v>0</v>
      </c>
      <c r="CF54" t="s">
        <v>408</v>
      </c>
      <c r="CI54">
        <f>IFERROR((-(IFERROR(VLOOKUP(CF34,$L$126:$M$165,2,FALSE),"0")+IFERROR(VLOOKUP(CG34,$L$126:$M$165,2,FALSE),"0")))*1000/CG56,0)</f>
        <v>0</v>
      </c>
      <c r="CK54" t="s">
        <v>408</v>
      </c>
      <c r="CN54">
        <f>IFERROR((-(IFERROR(VLOOKUP(CK34,$L$126:$M$165,2,FALSE),"0")+IFERROR(VLOOKUP(CL34,$L$126:$M$165,2,FALSE),"0")))*1000/CL56,0)</f>
        <v>0</v>
      </c>
      <c r="CP54" t="s">
        <v>408</v>
      </c>
      <c r="CS54">
        <f>IFERROR((-(IFERROR(VLOOKUP(CP34,$L$126:$M$165,2,FALSE),"0")+IFERROR(VLOOKUP(CQ34,$L$126:$M$165,2,FALSE),"0")))*1000/CQ56,0)</f>
        <v>0</v>
      </c>
      <c r="CU54" t="s">
        <v>408</v>
      </c>
      <c r="CX54">
        <f>IFERROR((-(IFERROR(VLOOKUP(CU34,$L$126:$M$165,2,FALSE),"0")+IFERROR(VLOOKUP(CV34,$L$126:$M$165,2,FALSE),"0")))*1000/CV56,0)</f>
        <v>0</v>
      </c>
      <c r="CZ54" t="s">
        <v>408</v>
      </c>
      <c r="DC54">
        <f>IFERROR((-(IFERROR(VLOOKUP(CZ34,$L$126:$M$165,2,FALSE),"0")+IFERROR(VLOOKUP(DA34,$L$126:$M$165,2,FALSE),"0")))*1000/DA56,0)</f>
        <v>0</v>
      </c>
      <c r="DE54" t="s">
        <v>408</v>
      </c>
      <c r="DH54">
        <f>IFERROR((-(IFERROR(VLOOKUP(DE34,$L$126:$M$165,2,FALSE),"0")+IFERROR(VLOOKUP(DF34,$L$126:$M$165,2,FALSE),"0")))*1000/DF56,0)</f>
        <v>0</v>
      </c>
      <c r="DJ54" t="s">
        <v>408</v>
      </c>
      <c r="DM54">
        <f>IFERROR((-(IFERROR(VLOOKUP(DJ34,$L$126:$M$165,2,FALSE),"0")+IFERROR(VLOOKUP(DK34,$L$126:$M$165,2,FALSE),"0")))*1000/DK56,0)</f>
        <v>0</v>
      </c>
      <c r="DO54" t="s">
        <v>408</v>
      </c>
      <c r="DR54">
        <f>IFERROR((-(IFERROR(VLOOKUP(DO34,$L$126:$M$165,2,FALSE),"0")+IFERROR(VLOOKUP(DP34,$L$126:$M$165,2,FALSE),"0")))*1000/DP56,0)</f>
        <v>0</v>
      </c>
      <c r="DT54" t="s">
        <v>408</v>
      </c>
      <c r="DW54">
        <f>IFERROR((-(IFERROR(VLOOKUP(DT34,$L$126:$M$165,2,FALSE),"0")+IFERROR(VLOOKUP(DU34,$L$126:$M$165,2,FALSE),"0")))*1000/DU56,0)</f>
        <v>0</v>
      </c>
      <c r="DY54" t="s">
        <v>408</v>
      </c>
      <c r="EB54">
        <f>IFERROR((-(IFERROR(VLOOKUP(DY34,$L$126:$M$165,2,FALSE),"0")+IFERROR(VLOOKUP(DZ34,$L$126:$M$165,2,FALSE),"0")))*1000/DZ56,0)</f>
        <v>0</v>
      </c>
      <c r="ED54" t="s">
        <v>408</v>
      </c>
      <c r="EG54">
        <f>IFERROR((-(IFERROR(VLOOKUP(ED34,$L$126:$M$165,2,FALSE),"0")+IFERROR(VLOOKUP(EE34,$L$126:$M$165,2,FALSE),"0")))*1000/EE56,0)</f>
        <v>0</v>
      </c>
      <c r="EI54" t="s">
        <v>408</v>
      </c>
      <c r="EL54">
        <f>IFERROR((-(IFERROR(VLOOKUP(EI34,$L$126:$M$165,2,FALSE),"0")+IFERROR(VLOOKUP(EJ34,$L$126:$M$165,2,FALSE),"0")))*1000/EJ56,0)</f>
        <v>0</v>
      </c>
      <c r="EN54" t="s">
        <v>408</v>
      </c>
      <c r="EQ54">
        <f>IFERROR((-(IFERROR(VLOOKUP(EN34,$L$126:$M$165,2,FALSE),"0")+IFERROR(VLOOKUP(EO34,$L$126:$M$165,2,FALSE),"0")))*1000/EO56,0)</f>
        <v>0</v>
      </c>
      <c r="ES54" t="s">
        <v>408</v>
      </c>
      <c r="EV54">
        <f>IFERROR((-(IFERROR(VLOOKUP(ES34,$L$126:$M$165,2,FALSE),"0")+IFERROR(VLOOKUP(ET34,$L$126:$M$165,2,FALSE),"0")))*1000/ET56,0)</f>
        <v>0</v>
      </c>
      <c r="EX54" t="s">
        <v>408</v>
      </c>
      <c r="FA54">
        <f>IFERROR((-(IFERROR(VLOOKUP(EX34,$L$126:$M$165,2,FALSE),"0")+IFERROR(VLOOKUP(EY34,$L$126:$M$165,2,FALSE),"0")))*1000/EY56,0)</f>
        <v>0</v>
      </c>
      <c r="FC54" t="s">
        <v>408</v>
      </c>
      <c r="FF54">
        <f>IFERROR((-(IFERROR(VLOOKUP(FC34,$L$126:$M$165,2,FALSE),"0")+IFERROR(VLOOKUP(FD34,$L$126:$M$165,2,FALSE),"0")))*1000/FD56,0)</f>
        <v>0</v>
      </c>
      <c r="FH54" t="s">
        <v>408</v>
      </c>
      <c r="FK54">
        <f>IFERROR((-(IFERROR(VLOOKUP(FH34,$L$126:$M$165,2,FALSE),"0")+IFERROR(VLOOKUP(FI34,$L$126:$M$165,2,FALSE),"0")))*1000/FI56,0)</f>
        <v>0</v>
      </c>
      <c r="FM54" t="s">
        <v>408</v>
      </c>
      <c r="FP54">
        <f>IFERROR((-(IFERROR(VLOOKUP(FM34,$L$126:$M$165,2,FALSE),"0")+IFERROR(VLOOKUP(FN34,$L$126:$M$165,2,FALSE),"0")))*1000/FN56,0)</f>
        <v>0</v>
      </c>
      <c r="FR54" t="s">
        <v>408</v>
      </c>
      <c r="FU54">
        <f>IFERROR((-(IFERROR(VLOOKUP(FR34,$L$126:$M$165,2,FALSE),"0")+IFERROR(VLOOKUP(FS34,$L$126:$M$165,2,FALSE),"0")))*1000/FS56,0)</f>
        <v>0</v>
      </c>
      <c r="FW54" t="s">
        <v>408</v>
      </c>
      <c r="FZ54">
        <f>IFERROR((-(IFERROR(VLOOKUP(FW34,$L$126:$M$165,2,FALSE),"0")+IFERROR(VLOOKUP(FX34,$L$126:$M$165,2,FALSE),"0")))*1000/FX56,0)</f>
        <v>0</v>
      </c>
    </row>
    <row r="55" spans="1:182">
      <c r="A55">
        <f>W3</f>
        <v>0</v>
      </c>
      <c r="B55">
        <f>W4</f>
        <v>0</v>
      </c>
      <c r="C55">
        <f>W5</f>
        <v>0</v>
      </c>
      <c r="D55">
        <f>W6</f>
        <v>0</v>
      </c>
      <c r="E55">
        <f>W7</f>
        <v>0</v>
      </c>
      <c r="F55" s="28">
        <f>W8</f>
        <v>0</v>
      </c>
      <c r="G55">
        <f>W9</f>
        <v>0</v>
      </c>
      <c r="H55">
        <f>W10</f>
        <v>0</v>
      </c>
      <c r="I55">
        <f>W11</f>
        <v>0</v>
      </c>
      <c r="J55">
        <f>W12</f>
        <v>0</v>
      </c>
      <c r="K55" s="28">
        <f>W13</f>
        <v>0</v>
      </c>
      <c r="L55">
        <f>W14</f>
        <v>0</v>
      </c>
      <c r="M55" s="28">
        <f>W15</f>
        <v>0</v>
      </c>
      <c r="N55">
        <f>W16</f>
        <v>0</v>
      </c>
      <c r="O55" s="28">
        <f>W17</f>
        <v>0</v>
      </c>
      <c r="P55" s="28">
        <f t="shared" si="14"/>
        <v>0</v>
      </c>
      <c r="Q55" s="28">
        <f t="shared" si="9"/>
        <v>0</v>
      </c>
      <c r="R55" s="28">
        <f t="shared" si="10"/>
        <v>0</v>
      </c>
      <c r="S55" s="28">
        <f t="shared" si="11"/>
        <v>0</v>
      </c>
      <c r="T55" s="28">
        <f t="shared" si="15"/>
        <v>0</v>
      </c>
      <c r="U55">
        <f t="shared" si="16"/>
        <v>0</v>
      </c>
      <c r="V55" s="260">
        <f>W21</f>
        <v>0</v>
      </c>
      <c r="W55" s="260">
        <f>W22</f>
        <v>0</v>
      </c>
      <c r="X55">
        <f>W23</f>
        <v>0</v>
      </c>
      <c r="Y55">
        <f>W24</f>
        <v>0</v>
      </c>
      <c r="Z55" s="260">
        <f>W25</f>
        <v>0</v>
      </c>
      <c r="AA55" s="260" t="e">
        <f>W27</f>
        <v>#DIV/0!</v>
      </c>
      <c r="AB55">
        <f>W28</f>
        <v>0</v>
      </c>
      <c r="AC55">
        <f>W29</f>
        <v>0</v>
      </c>
      <c r="AD55">
        <f>W30</f>
        <v>0</v>
      </c>
      <c r="CU55" s="6"/>
    </row>
    <row r="56" spans="1:182">
      <c r="A56">
        <f>X3</f>
        <v>0</v>
      </c>
      <c r="B56">
        <f>X4</f>
        <v>0</v>
      </c>
      <c r="C56">
        <f>X5</f>
        <v>0</v>
      </c>
      <c r="D56">
        <f>X6</f>
        <v>0</v>
      </c>
      <c r="E56">
        <f>X7</f>
        <v>0</v>
      </c>
      <c r="F56" s="28">
        <f>X8</f>
        <v>0</v>
      </c>
      <c r="G56">
        <f>X9</f>
        <v>0</v>
      </c>
      <c r="H56">
        <f>X10</f>
        <v>0</v>
      </c>
      <c r="I56">
        <f>X11</f>
        <v>0</v>
      </c>
      <c r="J56">
        <f>X12</f>
        <v>0</v>
      </c>
      <c r="K56" s="28">
        <f>X13</f>
        <v>0</v>
      </c>
      <c r="L56">
        <f>X14</f>
        <v>0</v>
      </c>
      <c r="M56" s="28">
        <f>X15</f>
        <v>0</v>
      </c>
      <c r="N56">
        <f>X16</f>
        <v>0</v>
      </c>
      <c r="O56" s="28">
        <f>X17</f>
        <v>0</v>
      </c>
      <c r="P56" s="28">
        <f t="shared" si="14"/>
        <v>0</v>
      </c>
      <c r="Q56" s="28">
        <f t="shared" si="9"/>
        <v>0</v>
      </c>
      <c r="R56" s="28">
        <f t="shared" si="10"/>
        <v>0</v>
      </c>
      <c r="S56" s="28">
        <f t="shared" si="11"/>
        <v>0</v>
      </c>
      <c r="T56" s="28">
        <f t="shared" si="15"/>
        <v>0</v>
      </c>
      <c r="U56">
        <f t="shared" si="16"/>
        <v>0</v>
      </c>
      <c r="V56" s="260" t="e">
        <f>X21</f>
        <v>#DIV/0!</v>
      </c>
      <c r="W56" s="260" t="e">
        <f>X22</f>
        <v>#DIV/0!</v>
      </c>
      <c r="X56">
        <f>X23</f>
        <v>0</v>
      </c>
      <c r="Y56">
        <f>X24</f>
        <v>0</v>
      </c>
      <c r="Z56" s="260" t="e">
        <f>X25</f>
        <v>#DIV/0!</v>
      </c>
      <c r="AA56" s="260" t="e">
        <f>X27</f>
        <v>#DIV/0!</v>
      </c>
      <c r="AB56" t="e">
        <f>X28</f>
        <v>#DIV/0!</v>
      </c>
      <c r="AC56">
        <f>X29</f>
        <v>0</v>
      </c>
      <c r="AD56">
        <f>X30</f>
        <v>0</v>
      </c>
      <c r="AH56" t="s">
        <v>997</v>
      </c>
      <c r="AI56">
        <f>IFERROR(VLOOKUP(AH34,$A$34:$U$55,21,FALSE),"0")+IFERROR(VLOOKUP(AI34,$A$34:$U$55,21,FALSE),"0")</f>
        <v>0</v>
      </c>
      <c r="AM56" t="s">
        <v>997</v>
      </c>
      <c r="AN56">
        <f>IFERROR(VLOOKUP(AM34,$A$34:$U$55,21,FALSE),"0")+IFERROR(VLOOKUP(AN34,$A$34:$U$55,21,FALSE),"0")</f>
        <v>0</v>
      </c>
      <c r="AR56" t="s">
        <v>997</v>
      </c>
      <c r="AS56">
        <f>IFERROR(VLOOKUP(AR34,$A$34:$U$55,21,FALSE),"0")+IFERROR(VLOOKUP(AS34,$A$34:$U$55,21,FALSE),"0")</f>
        <v>0</v>
      </c>
      <c r="AW56" t="s">
        <v>997</v>
      </c>
      <c r="AX56">
        <f>IFERROR(VLOOKUP(AW34,$A$34:$U$55,21,FALSE),"0")+IFERROR(VLOOKUP(AX34,$A$34:$U$55,21,FALSE),"0")</f>
        <v>0</v>
      </c>
      <c r="BB56" t="s">
        <v>997</v>
      </c>
      <c r="BC56">
        <f>IFERROR(VLOOKUP(BB34,$A$34:$U$55,21,FALSE),"0")+IFERROR(VLOOKUP(BC34,$A$34:$U$55,21,FALSE),"0")</f>
        <v>0</v>
      </c>
      <c r="BG56" t="s">
        <v>997</v>
      </c>
      <c r="BH56">
        <f>IFERROR(VLOOKUP(BG34,$A$34:$U$55,21,FALSE),"0")+IFERROR(VLOOKUP(BH34,$A$34:$U$55,21,FALSE),"0")</f>
        <v>0</v>
      </c>
      <c r="BL56" t="s">
        <v>997</v>
      </c>
      <c r="BM56">
        <f>IFERROR(VLOOKUP(BL34,$A$34:$U$55,21,FALSE),"0")+IFERROR(VLOOKUP(BM34,$A$34:$U$55,21,FALSE),"0")</f>
        <v>0</v>
      </c>
      <c r="BQ56" t="s">
        <v>997</v>
      </c>
      <c r="BR56">
        <f>IFERROR(VLOOKUP(BQ34,$A$34:$U$55,21,FALSE),"0")+IFERROR(VLOOKUP(BR34,$A$34:$U$55,21,FALSE),"0")</f>
        <v>0</v>
      </c>
      <c r="BV56" t="s">
        <v>997</v>
      </c>
      <c r="BW56">
        <f>IFERROR(VLOOKUP(BV34,$A$34:$U$55,21,FALSE),"0")+IFERROR(VLOOKUP(BW34,$A$34:$U$55,21,FALSE),"0")</f>
        <v>0</v>
      </c>
      <c r="CA56" t="s">
        <v>997</v>
      </c>
      <c r="CB56">
        <f>IFERROR(VLOOKUP(CA34,$A$34:$U$55,21,FALSE),"0")+IFERROR(VLOOKUP(CB34,$A$34:$U$55,21,FALSE),"0")</f>
        <v>0</v>
      </c>
      <c r="CF56" t="s">
        <v>997</v>
      </c>
      <c r="CG56">
        <f>IFERROR(VLOOKUP(CF34,$A$34:$U$55,21,FALSE),"0")+IFERROR(VLOOKUP(CG34,$A$34:$U$55,21,FALSE),"0")</f>
        <v>0</v>
      </c>
      <c r="CK56" t="s">
        <v>997</v>
      </c>
      <c r="CL56">
        <f>IFERROR(VLOOKUP(CK34,$A$34:$U$55,21,FALSE),"0")+IFERROR(VLOOKUP(CL34,$A$34:$U$55,21,FALSE),"0")</f>
        <v>0</v>
      </c>
      <c r="CP56" t="s">
        <v>997</v>
      </c>
      <c r="CQ56">
        <f>IFERROR(VLOOKUP(CP34,$A$34:$U$55,21,FALSE),"0")+IFERROR(VLOOKUP(CQ34,$A$34:$U$55,21,FALSE),"0")</f>
        <v>0</v>
      </c>
      <c r="CU56" t="s">
        <v>997</v>
      </c>
      <c r="CV56">
        <f>IFERROR(VLOOKUP(CU34,$A$34:$U$72,21,FALSE),"0")+IFERROR(VLOOKUP(CV34,$A$34:$U$72,21,FALSE),"0")</f>
        <v>0</v>
      </c>
      <c r="CZ56" t="s">
        <v>997</v>
      </c>
      <c r="DA56">
        <f>IFERROR(VLOOKUP(CZ34,$A$34:$U$72,21,FALSE),"0")+IFERROR(VLOOKUP(DA34,$A$34:$U$72,21,FALSE),"0")</f>
        <v>0</v>
      </c>
      <c r="DE56" t="s">
        <v>997</v>
      </c>
      <c r="DF56">
        <f>IFERROR(VLOOKUP(DE34,$A$34:$U$72,21,FALSE),"0")+IFERROR(VLOOKUP(DF34,$A$34:$U$72,21,FALSE),"0")</f>
        <v>0</v>
      </c>
      <c r="DJ56" t="s">
        <v>997</v>
      </c>
      <c r="DK56">
        <f>IFERROR(VLOOKUP(DJ34,$A$34:$U$72,21,FALSE),"0")+IFERROR(VLOOKUP(DK34,$A$34:$U$72,21,FALSE),"0")</f>
        <v>0</v>
      </c>
      <c r="DO56" t="s">
        <v>997</v>
      </c>
      <c r="DP56">
        <f>IFERROR(VLOOKUP(DO34,$A$34:$U$72,21,FALSE),"0")+IFERROR(VLOOKUP(DP34,$A$34:$U$72,21,FALSE),"0")</f>
        <v>0</v>
      </c>
      <c r="DT56" t="s">
        <v>997</v>
      </c>
      <c r="DU56">
        <f>IFERROR(VLOOKUP(DT34,$A$34:$U$72,21,FALSE),"0")+IFERROR(VLOOKUP(DU34,$A$34:$U$72,21,FALSE),"0")</f>
        <v>0</v>
      </c>
      <c r="DY56" t="s">
        <v>997</v>
      </c>
      <c r="DZ56">
        <f>IFERROR(VLOOKUP(DY34,$A$34:$U$72,21,FALSE),"0")+IFERROR(VLOOKUP(DZ34,$A$34:$U$72,21,FALSE),"0")</f>
        <v>0</v>
      </c>
      <c r="ED56" t="s">
        <v>997</v>
      </c>
      <c r="EE56">
        <f>IFERROR(VLOOKUP(ED34,$A$34:$U$72,21,FALSE),"0")+IFERROR(VLOOKUP(EE34,$A$34:$U$72,21,FALSE),"0")</f>
        <v>0</v>
      </c>
      <c r="EI56" t="s">
        <v>997</v>
      </c>
      <c r="EJ56">
        <f>IFERROR(VLOOKUP(EI34,$A$34:$U$72,21,FALSE),"0")+IFERROR(VLOOKUP(EJ34,$A$34:$U$72,21,FALSE),"0")</f>
        <v>0</v>
      </c>
      <c r="EN56" t="s">
        <v>997</v>
      </c>
      <c r="EO56">
        <f>IFERROR(VLOOKUP(EN34,$A$34:$U$72,21,FALSE),"0")+IFERROR(VLOOKUP(EO34,$A$34:$U$72,21,FALSE),"0")</f>
        <v>0</v>
      </c>
      <c r="ES56" t="s">
        <v>997</v>
      </c>
      <c r="ET56">
        <f>IFERROR(VLOOKUP(ES34,$A$34:$U$72,21,FALSE),"0")+IFERROR(VLOOKUP(ET34,$A$34:$U$72,21,FALSE),"0")</f>
        <v>0</v>
      </c>
      <c r="EX56" t="s">
        <v>997</v>
      </c>
      <c r="EY56">
        <f>IFERROR(VLOOKUP(EX34,$A$34:$U$72,21,FALSE),"0")+IFERROR(VLOOKUP(EY34,$A$34:$U$72,21,FALSE),"0")</f>
        <v>0</v>
      </c>
      <c r="FC56" t="s">
        <v>997</v>
      </c>
      <c r="FD56">
        <f>IFERROR(VLOOKUP(FC34,$A$34:$U$72,21,FALSE),"0")+IFERROR(VLOOKUP(FD34,$A$34:$U$72,21,FALSE),"0")</f>
        <v>0</v>
      </c>
      <c r="FH56" t="s">
        <v>997</v>
      </c>
      <c r="FI56">
        <f>IFERROR(VLOOKUP(FH34,$A$34:$U$72,21,FALSE),"0")+IFERROR(VLOOKUP(FI34,$A$34:$U$72,21,FALSE),"0")</f>
        <v>0</v>
      </c>
      <c r="FM56" t="s">
        <v>997</v>
      </c>
      <c r="FN56">
        <f>IFERROR(VLOOKUP(FM34,$A$34:$U$72,21,FALSE),"0")+IFERROR(VLOOKUP(FN34,$A$34:$U$72,21,FALSE),"0")</f>
        <v>0</v>
      </c>
      <c r="FR56" t="s">
        <v>997</v>
      </c>
      <c r="FS56">
        <f>IFERROR(VLOOKUP(FR34,$A$34:$U$72,21,FALSE),"0")+IFERROR(VLOOKUP(FS34,$A$34:$U$72,21,FALSE),"0")</f>
        <v>0</v>
      </c>
      <c r="FW56" t="s">
        <v>997</v>
      </c>
      <c r="FX56">
        <f>IFERROR(VLOOKUP(FW34,$A$34:$U$72,21,FALSE),"0")+IFERROR(VLOOKUP(FX34,$A$34:$U$72,21,FALSE),"0")</f>
        <v>0</v>
      </c>
    </row>
    <row r="57" spans="1:182">
      <c r="A57">
        <f>Y3</f>
        <v>0</v>
      </c>
      <c r="B57">
        <f>Y4</f>
        <v>0</v>
      </c>
      <c r="C57">
        <f>Y5</f>
        <v>0</v>
      </c>
      <c r="D57">
        <f>Y6</f>
        <v>0</v>
      </c>
      <c r="E57">
        <f>Y7</f>
        <v>0</v>
      </c>
      <c r="F57" s="28">
        <f>Y8</f>
        <v>0</v>
      </c>
      <c r="G57">
        <f>Y9</f>
        <v>0</v>
      </c>
      <c r="H57">
        <f>Y10</f>
        <v>0</v>
      </c>
      <c r="I57">
        <f>Y11</f>
        <v>0</v>
      </c>
      <c r="J57">
        <f>Y12</f>
        <v>0</v>
      </c>
      <c r="K57" s="28">
        <f>Y13</f>
        <v>0</v>
      </c>
      <c r="L57">
        <f>Y14</f>
        <v>0</v>
      </c>
      <c r="M57" s="28">
        <f>Y15</f>
        <v>0</v>
      </c>
      <c r="N57">
        <f>Y16</f>
        <v>0</v>
      </c>
      <c r="O57" s="28">
        <f>Y17</f>
        <v>0</v>
      </c>
      <c r="P57" s="28">
        <f t="shared" si="14"/>
        <v>0</v>
      </c>
      <c r="Q57" s="28">
        <f t="shared" si="9"/>
        <v>0</v>
      </c>
      <c r="R57" s="28">
        <f t="shared" si="10"/>
        <v>0</v>
      </c>
      <c r="S57" s="28">
        <f t="shared" si="11"/>
        <v>0</v>
      </c>
      <c r="T57" s="28">
        <f t="shared" si="15"/>
        <v>0</v>
      </c>
      <c r="U57">
        <f t="shared" si="16"/>
        <v>0</v>
      </c>
      <c r="V57" s="260" t="e">
        <f>Y21</f>
        <v>#DIV/0!</v>
      </c>
      <c r="W57" s="260" t="e">
        <f>Y22</f>
        <v>#DIV/0!</v>
      </c>
      <c r="X57">
        <f>Y23</f>
        <v>0</v>
      </c>
      <c r="Y57">
        <f>Y24</f>
        <v>0</v>
      </c>
      <c r="Z57" s="260" t="e">
        <f>Y25</f>
        <v>#DIV/0!</v>
      </c>
      <c r="AA57" s="260" t="e">
        <f>Y27</f>
        <v>#DIV/0!</v>
      </c>
      <c r="AB57" t="e">
        <f>Y28</f>
        <v>#DIV/0!</v>
      </c>
      <c r="AC57">
        <f>Y29</f>
        <v>0</v>
      </c>
      <c r="AD57">
        <f>Y30</f>
        <v>0</v>
      </c>
    </row>
    <row r="58" spans="1:182">
      <c r="A58">
        <f>Z3</f>
        <v>0</v>
      </c>
      <c r="B58">
        <f>Z4</f>
        <v>0</v>
      </c>
      <c r="C58">
        <f>Z5</f>
        <v>0</v>
      </c>
      <c r="D58">
        <f>Z6</f>
        <v>0</v>
      </c>
      <c r="E58">
        <f>Z7</f>
        <v>0</v>
      </c>
      <c r="F58" s="28">
        <f>Z8</f>
        <v>0</v>
      </c>
      <c r="G58">
        <f>Z9</f>
        <v>0</v>
      </c>
      <c r="H58">
        <f>Z10</f>
        <v>0</v>
      </c>
      <c r="I58">
        <f>Z11</f>
        <v>0</v>
      </c>
      <c r="J58">
        <f>Z12</f>
        <v>0</v>
      </c>
      <c r="K58" s="28">
        <f>Z13</f>
        <v>0</v>
      </c>
      <c r="L58">
        <f>Z14</f>
        <v>0</v>
      </c>
      <c r="M58" s="28">
        <f>Z15</f>
        <v>0</v>
      </c>
      <c r="N58">
        <f>Z16</f>
        <v>0</v>
      </c>
      <c r="O58" s="28">
        <f>Z17</f>
        <v>0</v>
      </c>
      <c r="P58" s="28">
        <f t="shared" si="14"/>
        <v>0</v>
      </c>
      <c r="Q58" s="28">
        <f t="shared" si="9"/>
        <v>0</v>
      </c>
      <c r="R58" s="28">
        <f t="shared" si="10"/>
        <v>0</v>
      </c>
      <c r="S58" s="28">
        <f t="shared" si="11"/>
        <v>0</v>
      </c>
      <c r="T58" s="28">
        <f t="shared" si="15"/>
        <v>0</v>
      </c>
      <c r="U58">
        <f t="shared" si="16"/>
        <v>0</v>
      </c>
      <c r="V58" s="260" t="e">
        <f>Z21</f>
        <v>#DIV/0!</v>
      </c>
      <c r="W58" s="260" t="e">
        <f>Z22</f>
        <v>#DIV/0!</v>
      </c>
      <c r="X58">
        <f>Z23</f>
        <v>0</v>
      </c>
      <c r="Y58">
        <f>Z24</f>
        <v>0</v>
      </c>
      <c r="Z58" s="260" t="e">
        <f>Z25</f>
        <v>#DIV/0!</v>
      </c>
      <c r="AA58" s="260" t="e">
        <f>Z27</f>
        <v>#DIV/0!</v>
      </c>
      <c r="AB58" t="e">
        <f>Z28</f>
        <v>#DIV/0!</v>
      </c>
      <c r="AC58">
        <f>Z29</f>
        <v>0</v>
      </c>
      <c r="AD58">
        <f>Z30</f>
        <v>0</v>
      </c>
    </row>
    <row r="59" spans="1:182">
      <c r="A59">
        <f>AA3</f>
        <v>0</v>
      </c>
      <c r="B59">
        <f>AA4</f>
        <v>0</v>
      </c>
      <c r="C59">
        <f>AA5</f>
        <v>0</v>
      </c>
      <c r="D59">
        <f>AA6</f>
        <v>0</v>
      </c>
      <c r="E59">
        <f>AA7</f>
        <v>0</v>
      </c>
      <c r="F59" s="28">
        <f>AA8</f>
        <v>0</v>
      </c>
      <c r="G59">
        <f>AA9</f>
        <v>0</v>
      </c>
      <c r="H59">
        <f>AA10</f>
        <v>0</v>
      </c>
      <c r="I59">
        <f>AA11</f>
        <v>0</v>
      </c>
      <c r="J59">
        <f>AA12</f>
        <v>0</v>
      </c>
      <c r="K59" s="28">
        <f>AA13</f>
        <v>0</v>
      </c>
      <c r="L59">
        <f>AA14</f>
        <v>0</v>
      </c>
      <c r="M59" s="28">
        <f>AA15</f>
        <v>0</v>
      </c>
      <c r="N59">
        <f>AA16</f>
        <v>0</v>
      </c>
      <c r="O59" s="28">
        <f>AA17</f>
        <v>0</v>
      </c>
      <c r="P59" s="28">
        <f t="shared" si="14"/>
        <v>0</v>
      </c>
      <c r="Q59" s="28">
        <f t="shared" si="9"/>
        <v>0</v>
      </c>
      <c r="R59" s="28">
        <f t="shared" si="10"/>
        <v>0</v>
      </c>
      <c r="S59" s="28">
        <f t="shared" si="11"/>
        <v>0</v>
      </c>
      <c r="T59" s="28">
        <f t="shared" si="15"/>
        <v>0</v>
      </c>
      <c r="U59">
        <f t="shared" si="16"/>
        <v>0</v>
      </c>
      <c r="V59" s="260" t="e">
        <f>AA21</f>
        <v>#DIV/0!</v>
      </c>
      <c r="W59" s="260" t="e">
        <f>AA22</f>
        <v>#DIV/0!</v>
      </c>
      <c r="X59">
        <f>AA23</f>
        <v>0</v>
      </c>
      <c r="Y59">
        <f>AA24</f>
        <v>0</v>
      </c>
      <c r="Z59" s="260" t="e">
        <f>AA25</f>
        <v>#DIV/0!</v>
      </c>
      <c r="AA59" s="260" t="e">
        <f>AA27</f>
        <v>#DIV/0!</v>
      </c>
      <c r="AB59" t="e">
        <f>AA28</f>
        <v>#DIV/0!</v>
      </c>
      <c r="AC59">
        <f>AA29</f>
        <v>0</v>
      </c>
      <c r="AD59">
        <f>AA30</f>
        <v>0</v>
      </c>
    </row>
    <row r="60" spans="1:182">
      <c r="A60">
        <f>AB3</f>
        <v>0</v>
      </c>
      <c r="B60">
        <f>AB4</f>
        <v>0</v>
      </c>
      <c r="C60">
        <f>AB5</f>
        <v>0</v>
      </c>
      <c r="D60">
        <f>AB6</f>
        <v>0</v>
      </c>
      <c r="E60">
        <f>AB7</f>
        <v>0</v>
      </c>
      <c r="F60" s="28">
        <f>AB8</f>
        <v>0</v>
      </c>
      <c r="G60">
        <f>AB9</f>
        <v>0</v>
      </c>
      <c r="H60">
        <f>AB10</f>
        <v>0</v>
      </c>
      <c r="I60">
        <f>AB11</f>
        <v>0</v>
      </c>
      <c r="J60">
        <f>AB12</f>
        <v>0</v>
      </c>
      <c r="K60" s="28">
        <f>AB13</f>
        <v>0</v>
      </c>
      <c r="L60">
        <f>AB14</f>
        <v>0</v>
      </c>
      <c r="M60" s="28">
        <f>AB15</f>
        <v>0</v>
      </c>
      <c r="N60">
        <f>AB16</f>
        <v>0</v>
      </c>
      <c r="O60" s="28">
        <f>AB17</f>
        <v>0</v>
      </c>
      <c r="P60" s="28">
        <f t="shared" si="14"/>
        <v>0</v>
      </c>
      <c r="Q60" s="28">
        <f t="shared" si="9"/>
        <v>0</v>
      </c>
      <c r="R60" s="28">
        <f t="shared" si="10"/>
        <v>0</v>
      </c>
      <c r="S60" s="28">
        <f t="shared" si="11"/>
        <v>0</v>
      </c>
      <c r="T60" s="28">
        <f t="shared" si="15"/>
        <v>0</v>
      </c>
      <c r="U60">
        <f t="shared" si="16"/>
        <v>0</v>
      </c>
      <c r="V60" s="260" t="e">
        <f>AB21</f>
        <v>#DIV/0!</v>
      </c>
      <c r="W60" s="260" t="e">
        <f>AB22</f>
        <v>#DIV/0!</v>
      </c>
      <c r="X60">
        <f>AB23</f>
        <v>0</v>
      </c>
      <c r="Y60">
        <f>AB24</f>
        <v>0</v>
      </c>
      <c r="Z60" s="260" t="e">
        <f>AB25</f>
        <v>#DIV/0!</v>
      </c>
      <c r="AA60" s="260" t="e">
        <f>AB27</f>
        <v>#DIV/0!</v>
      </c>
      <c r="AB60" t="e">
        <f>AB28</f>
        <v>#DIV/0!</v>
      </c>
      <c r="AC60">
        <f>AB29</f>
        <v>0</v>
      </c>
      <c r="AD60">
        <f>AB30</f>
        <v>0</v>
      </c>
    </row>
    <row r="61" spans="1:182">
      <c r="A61">
        <f>AC3</f>
        <v>0</v>
      </c>
      <c r="B61">
        <f>AC4</f>
        <v>0</v>
      </c>
      <c r="C61">
        <f>AC5</f>
        <v>0</v>
      </c>
      <c r="D61">
        <f>AC6</f>
        <v>0</v>
      </c>
      <c r="E61">
        <f>AC7</f>
        <v>0</v>
      </c>
      <c r="F61" s="28">
        <f>AC8</f>
        <v>0</v>
      </c>
      <c r="G61">
        <f>AC9</f>
        <v>0</v>
      </c>
      <c r="H61">
        <f>AC10</f>
        <v>0</v>
      </c>
      <c r="I61">
        <f>AC11</f>
        <v>0</v>
      </c>
      <c r="J61">
        <f>AC12</f>
        <v>0</v>
      </c>
      <c r="K61" s="28">
        <f>AC13</f>
        <v>0</v>
      </c>
      <c r="L61">
        <f>AC14</f>
        <v>0</v>
      </c>
      <c r="M61" s="28">
        <f>AC15</f>
        <v>0</v>
      </c>
      <c r="N61">
        <f>AC16</f>
        <v>0</v>
      </c>
      <c r="O61" s="28">
        <f>AC17</f>
        <v>0</v>
      </c>
      <c r="P61" s="28">
        <f t="shared" si="14"/>
        <v>0</v>
      </c>
      <c r="Q61" s="28">
        <f t="shared" si="9"/>
        <v>0</v>
      </c>
      <c r="R61" s="28">
        <f t="shared" si="10"/>
        <v>0</v>
      </c>
      <c r="S61" s="28">
        <f t="shared" si="11"/>
        <v>0</v>
      </c>
      <c r="T61" s="28">
        <f t="shared" si="15"/>
        <v>0</v>
      </c>
      <c r="U61">
        <f t="shared" si="16"/>
        <v>0</v>
      </c>
      <c r="V61" s="260" t="e">
        <f>AC21</f>
        <v>#DIV/0!</v>
      </c>
      <c r="W61" s="260" t="e">
        <f>AC22</f>
        <v>#DIV/0!</v>
      </c>
      <c r="X61">
        <f>AC23</f>
        <v>0</v>
      </c>
      <c r="Y61">
        <f>AC24</f>
        <v>0</v>
      </c>
      <c r="Z61" s="260" t="e">
        <f>AC25</f>
        <v>#DIV/0!</v>
      </c>
      <c r="AA61" s="260" t="e">
        <f>AC27</f>
        <v>#DIV/0!</v>
      </c>
      <c r="AB61" t="e">
        <f>AC28</f>
        <v>#DIV/0!</v>
      </c>
      <c r="AC61">
        <f>AC29</f>
        <v>0</v>
      </c>
      <c r="AD61">
        <f>AC30</f>
        <v>0</v>
      </c>
    </row>
    <row r="62" spans="1:182">
      <c r="A62">
        <f>AD3</f>
        <v>0</v>
      </c>
      <c r="B62">
        <f>AD4</f>
        <v>0</v>
      </c>
      <c r="C62">
        <f>AD5</f>
        <v>0</v>
      </c>
      <c r="D62">
        <f>AD6</f>
        <v>0</v>
      </c>
      <c r="E62">
        <f>AD7</f>
        <v>0</v>
      </c>
      <c r="F62" s="28">
        <f>AD8</f>
        <v>0</v>
      </c>
      <c r="G62">
        <f>AD9</f>
        <v>0</v>
      </c>
      <c r="H62">
        <f>AD10</f>
        <v>0</v>
      </c>
      <c r="I62">
        <f>AD11</f>
        <v>0</v>
      </c>
      <c r="J62">
        <f>AD12</f>
        <v>0</v>
      </c>
      <c r="K62" s="28">
        <f>AD13</f>
        <v>0</v>
      </c>
      <c r="L62">
        <f>AD14</f>
        <v>0</v>
      </c>
      <c r="M62" s="28">
        <f>AD15</f>
        <v>0</v>
      </c>
      <c r="N62">
        <f>AD16</f>
        <v>0</v>
      </c>
      <c r="O62" s="28">
        <f>AD17</f>
        <v>0</v>
      </c>
      <c r="P62" s="28">
        <f t="shared" si="14"/>
        <v>0</v>
      </c>
      <c r="Q62" s="28">
        <f t="shared" si="9"/>
        <v>0</v>
      </c>
      <c r="R62" s="28">
        <f t="shared" si="10"/>
        <v>0</v>
      </c>
      <c r="S62" s="28">
        <f t="shared" si="11"/>
        <v>0</v>
      </c>
      <c r="T62" s="28">
        <f t="shared" si="15"/>
        <v>0</v>
      </c>
      <c r="U62">
        <f t="shared" si="16"/>
        <v>0</v>
      </c>
      <c r="V62" s="260" t="e">
        <f>AD21</f>
        <v>#DIV/0!</v>
      </c>
      <c r="W62" s="260" t="e">
        <f>AD22</f>
        <v>#DIV/0!</v>
      </c>
      <c r="X62">
        <f>AD23</f>
        <v>0</v>
      </c>
      <c r="Y62">
        <f>AD24</f>
        <v>0</v>
      </c>
      <c r="Z62" s="260" t="e">
        <f>AD25</f>
        <v>#DIV/0!</v>
      </c>
      <c r="AA62" s="260" t="e">
        <f>AD27</f>
        <v>#DIV/0!</v>
      </c>
      <c r="AB62" t="e">
        <f>AD28</f>
        <v>#DIV/0!</v>
      </c>
      <c r="AC62">
        <f>AD29</f>
        <v>0</v>
      </c>
      <c r="AD62">
        <f>AD30</f>
        <v>0</v>
      </c>
    </row>
    <row r="63" spans="1:182">
      <c r="A63">
        <f>AE3</f>
        <v>0</v>
      </c>
      <c r="B63">
        <f>AE4</f>
        <v>0</v>
      </c>
      <c r="C63">
        <f>AE5</f>
        <v>0</v>
      </c>
      <c r="D63">
        <f>AE6</f>
        <v>0</v>
      </c>
      <c r="E63">
        <f>AE7</f>
        <v>0</v>
      </c>
      <c r="F63" s="28">
        <f>AE8</f>
        <v>0</v>
      </c>
      <c r="G63">
        <f>AE9</f>
        <v>0</v>
      </c>
      <c r="H63">
        <f>AE10</f>
        <v>0</v>
      </c>
      <c r="I63">
        <f>AE11</f>
        <v>0</v>
      </c>
      <c r="J63">
        <f>AE12</f>
        <v>0</v>
      </c>
      <c r="K63" s="28">
        <f>AE13</f>
        <v>0</v>
      </c>
      <c r="L63">
        <f>AE14</f>
        <v>0</v>
      </c>
      <c r="M63" s="28">
        <f>AE15</f>
        <v>0</v>
      </c>
      <c r="N63">
        <f>AE16</f>
        <v>0</v>
      </c>
      <c r="O63" s="28">
        <f>AE17</f>
        <v>0</v>
      </c>
      <c r="P63" s="28">
        <f t="shared" si="14"/>
        <v>0</v>
      </c>
      <c r="Q63" s="28">
        <f t="shared" si="9"/>
        <v>0</v>
      </c>
      <c r="R63" s="28">
        <f t="shared" si="10"/>
        <v>0</v>
      </c>
      <c r="S63" s="28">
        <f t="shared" si="11"/>
        <v>0</v>
      </c>
      <c r="T63" s="28">
        <f t="shared" si="15"/>
        <v>0</v>
      </c>
      <c r="U63">
        <f t="shared" si="16"/>
        <v>0</v>
      </c>
      <c r="V63" s="260" t="e">
        <f>AE21</f>
        <v>#DIV/0!</v>
      </c>
      <c r="W63" s="260" t="e">
        <f>AE22</f>
        <v>#DIV/0!</v>
      </c>
      <c r="X63">
        <f>AE23</f>
        <v>0</v>
      </c>
      <c r="Y63">
        <f>AE24</f>
        <v>0</v>
      </c>
      <c r="Z63" s="260" t="e">
        <f>AE25</f>
        <v>#DIV/0!</v>
      </c>
      <c r="AA63" s="260" t="e">
        <f>AE27</f>
        <v>#DIV/0!</v>
      </c>
      <c r="AB63" t="e">
        <f>AE28</f>
        <v>#DIV/0!</v>
      </c>
      <c r="AC63">
        <f>AE29</f>
        <v>0</v>
      </c>
      <c r="AD63">
        <f>AE30</f>
        <v>0</v>
      </c>
    </row>
    <row r="64" spans="1:182">
      <c r="A64">
        <f>AF3</f>
        <v>0</v>
      </c>
      <c r="B64">
        <f>AF4</f>
        <v>0</v>
      </c>
      <c r="C64">
        <f>AF5</f>
        <v>0</v>
      </c>
      <c r="D64">
        <f>AF6</f>
        <v>0</v>
      </c>
      <c r="E64">
        <f>AF7</f>
        <v>0</v>
      </c>
      <c r="F64" s="28">
        <f>AF8</f>
        <v>0</v>
      </c>
      <c r="G64">
        <f>AF9</f>
        <v>0</v>
      </c>
      <c r="H64">
        <f>AF10</f>
        <v>0</v>
      </c>
      <c r="I64">
        <f>AF11</f>
        <v>0</v>
      </c>
      <c r="J64">
        <f>AF12</f>
        <v>0</v>
      </c>
      <c r="K64" s="28">
        <f>AF13</f>
        <v>0</v>
      </c>
      <c r="L64">
        <f>AF14</f>
        <v>0</v>
      </c>
      <c r="M64" s="28">
        <f>AF15</f>
        <v>0</v>
      </c>
      <c r="N64">
        <f>AF16</f>
        <v>0</v>
      </c>
      <c r="O64" s="28">
        <f>AF17</f>
        <v>0</v>
      </c>
      <c r="P64" s="28">
        <f t="shared" si="14"/>
        <v>0</v>
      </c>
      <c r="Q64" s="28">
        <f t="shared" si="9"/>
        <v>0</v>
      </c>
      <c r="R64" s="28">
        <f t="shared" si="10"/>
        <v>0</v>
      </c>
      <c r="S64" s="28">
        <f t="shared" si="11"/>
        <v>0</v>
      </c>
      <c r="T64" s="28">
        <f t="shared" si="15"/>
        <v>0</v>
      </c>
      <c r="U64">
        <f t="shared" si="16"/>
        <v>0</v>
      </c>
      <c r="V64" s="260" t="e">
        <f>AF21</f>
        <v>#DIV/0!</v>
      </c>
      <c r="W64" s="260" t="e">
        <f>AF22</f>
        <v>#DIV/0!</v>
      </c>
      <c r="X64">
        <f>AF23</f>
        <v>0</v>
      </c>
      <c r="Y64">
        <f>AF24</f>
        <v>0</v>
      </c>
      <c r="Z64" s="260" t="e">
        <f>AF25</f>
        <v>#DIV/0!</v>
      </c>
      <c r="AA64" s="260" t="e">
        <f>AF27</f>
        <v>#DIV/0!</v>
      </c>
      <c r="AB64" t="e">
        <f>AF28</f>
        <v>#DIV/0!</v>
      </c>
      <c r="AC64">
        <f>AF29</f>
        <v>0</v>
      </c>
      <c r="AD64">
        <f>AF30</f>
        <v>0</v>
      </c>
    </row>
    <row r="65" spans="1:40">
      <c r="A65">
        <f>AG3</f>
        <v>0</v>
      </c>
      <c r="B65">
        <f>AG4</f>
        <v>0</v>
      </c>
      <c r="C65">
        <f>AG5</f>
        <v>0</v>
      </c>
      <c r="D65">
        <f>AG6</f>
        <v>0</v>
      </c>
      <c r="E65">
        <f>AG7</f>
        <v>0</v>
      </c>
      <c r="F65" s="28">
        <f>AG8</f>
        <v>0</v>
      </c>
      <c r="G65">
        <f>AG9</f>
        <v>0</v>
      </c>
      <c r="H65">
        <f>AG10</f>
        <v>0</v>
      </c>
      <c r="I65">
        <f>AG11</f>
        <v>0</v>
      </c>
      <c r="J65">
        <f>AG12</f>
        <v>0</v>
      </c>
      <c r="K65" s="28">
        <f>AG13</f>
        <v>0</v>
      </c>
      <c r="L65">
        <f>AG14</f>
        <v>0</v>
      </c>
      <c r="M65" s="28">
        <f>AG15</f>
        <v>0</v>
      </c>
      <c r="N65">
        <f>AG16</f>
        <v>0</v>
      </c>
      <c r="O65" s="28">
        <f>AG17</f>
        <v>0</v>
      </c>
      <c r="P65" s="28">
        <f t="shared" si="14"/>
        <v>0</v>
      </c>
      <c r="Q65" s="28">
        <f t="shared" si="9"/>
        <v>0</v>
      </c>
      <c r="R65" s="28">
        <f t="shared" si="10"/>
        <v>0</v>
      </c>
      <c r="S65" s="28">
        <f t="shared" si="11"/>
        <v>0</v>
      </c>
      <c r="T65" s="28">
        <f t="shared" si="15"/>
        <v>0</v>
      </c>
      <c r="U65">
        <f t="shared" si="16"/>
        <v>0</v>
      </c>
      <c r="V65" s="260" t="e">
        <f>AG21</f>
        <v>#DIV/0!</v>
      </c>
      <c r="W65" s="260" t="e">
        <f>AG22</f>
        <v>#DIV/0!</v>
      </c>
      <c r="X65">
        <f>AG23</f>
        <v>0</v>
      </c>
      <c r="Y65">
        <f>AG24</f>
        <v>0</v>
      </c>
      <c r="Z65" s="260" t="e">
        <f>AG25</f>
        <v>#DIV/0!</v>
      </c>
      <c r="AA65" s="260" t="e">
        <f>AG27</f>
        <v>#DIV/0!</v>
      </c>
      <c r="AB65" t="e">
        <f>AG28</f>
        <v>#DIV/0!</v>
      </c>
      <c r="AC65">
        <f>AG29</f>
        <v>0</v>
      </c>
      <c r="AD65">
        <f>AG30</f>
        <v>0</v>
      </c>
    </row>
    <row r="66" spans="1:40">
      <c r="A66">
        <f>AH3</f>
        <v>0</v>
      </c>
      <c r="B66">
        <f>AH4</f>
        <v>0</v>
      </c>
      <c r="C66">
        <f>AH5</f>
        <v>0</v>
      </c>
      <c r="D66">
        <f>AH6</f>
        <v>0</v>
      </c>
      <c r="E66">
        <f>AH7</f>
        <v>0</v>
      </c>
      <c r="F66" s="28">
        <f>AH8</f>
        <v>0</v>
      </c>
      <c r="G66">
        <f>AH9</f>
        <v>0</v>
      </c>
      <c r="H66">
        <f>AH10</f>
        <v>0</v>
      </c>
      <c r="I66">
        <f>AH11</f>
        <v>0</v>
      </c>
      <c r="J66">
        <f>AH12</f>
        <v>0</v>
      </c>
      <c r="K66" s="28">
        <f>AH13</f>
        <v>0</v>
      </c>
      <c r="L66">
        <f>AH14</f>
        <v>0</v>
      </c>
      <c r="M66" s="28">
        <f>AH15</f>
        <v>0</v>
      </c>
      <c r="N66">
        <f>AH16</f>
        <v>0</v>
      </c>
      <c r="O66" s="28">
        <f>AH17</f>
        <v>0</v>
      </c>
      <c r="P66" s="28">
        <f t="shared" si="14"/>
        <v>0</v>
      </c>
      <c r="Q66" s="28">
        <f t="shared" si="9"/>
        <v>0</v>
      </c>
      <c r="R66" s="28">
        <f t="shared" si="10"/>
        <v>0</v>
      </c>
      <c r="S66" s="28">
        <f t="shared" si="11"/>
        <v>0</v>
      </c>
      <c r="T66" s="28">
        <f t="shared" si="15"/>
        <v>0</v>
      </c>
      <c r="U66">
        <f t="shared" si="16"/>
        <v>0</v>
      </c>
      <c r="V66" s="260" t="e">
        <f>AH21</f>
        <v>#DIV/0!</v>
      </c>
      <c r="W66" s="260" t="e">
        <f>AH22</f>
        <v>#DIV/0!</v>
      </c>
      <c r="X66">
        <f>AH23</f>
        <v>0</v>
      </c>
      <c r="Y66">
        <f>AH24</f>
        <v>0</v>
      </c>
      <c r="Z66" s="260" t="e">
        <f>AH25</f>
        <v>#DIV/0!</v>
      </c>
      <c r="AA66" s="260" t="e">
        <f>AH27</f>
        <v>#DIV/0!</v>
      </c>
      <c r="AB66" t="e">
        <f>AH28</f>
        <v>#DIV/0!</v>
      </c>
      <c r="AC66">
        <f>AH29</f>
        <v>0</v>
      </c>
      <c r="AD66">
        <f>AH30</f>
        <v>0</v>
      </c>
    </row>
    <row r="67" spans="1:40">
      <c r="A67">
        <f>AI3</f>
        <v>0</v>
      </c>
      <c r="B67">
        <f>AI4</f>
        <v>0</v>
      </c>
      <c r="C67">
        <f>AI5</f>
        <v>0</v>
      </c>
      <c r="D67">
        <f>AI6</f>
        <v>0</v>
      </c>
      <c r="E67">
        <f>AI7</f>
        <v>0</v>
      </c>
      <c r="F67" s="28">
        <f>AI8</f>
        <v>0</v>
      </c>
      <c r="G67">
        <f>AI9</f>
        <v>0</v>
      </c>
      <c r="H67">
        <f>AI10</f>
        <v>0</v>
      </c>
      <c r="I67">
        <f>AI11</f>
        <v>0</v>
      </c>
      <c r="J67">
        <f>AI12</f>
        <v>0</v>
      </c>
      <c r="K67" s="28">
        <f>AI13</f>
        <v>0</v>
      </c>
      <c r="L67">
        <f>AI14</f>
        <v>0</v>
      </c>
      <c r="M67" s="28">
        <f>AI15</f>
        <v>0</v>
      </c>
      <c r="N67">
        <f>AI16</f>
        <v>0</v>
      </c>
      <c r="O67" s="28">
        <f>AI17</f>
        <v>0</v>
      </c>
      <c r="P67" s="28">
        <f t="shared" si="14"/>
        <v>0</v>
      </c>
      <c r="Q67" s="28">
        <f t="shared" si="9"/>
        <v>0</v>
      </c>
      <c r="R67" s="28">
        <f t="shared" si="10"/>
        <v>0</v>
      </c>
      <c r="S67" s="28">
        <f t="shared" si="11"/>
        <v>0</v>
      </c>
      <c r="T67" s="28">
        <f t="shared" si="15"/>
        <v>0</v>
      </c>
      <c r="U67">
        <f t="shared" si="16"/>
        <v>0</v>
      </c>
      <c r="V67" s="260" t="e">
        <f>AI21</f>
        <v>#DIV/0!</v>
      </c>
      <c r="W67" s="260" t="e">
        <f>AI22</f>
        <v>#DIV/0!</v>
      </c>
      <c r="X67">
        <f>AI23</f>
        <v>0</v>
      </c>
      <c r="Y67">
        <f>AI24</f>
        <v>0</v>
      </c>
      <c r="Z67" s="260" t="e">
        <f>AI25</f>
        <v>#DIV/0!</v>
      </c>
      <c r="AA67" s="260" t="e">
        <f>AI27</f>
        <v>#DIV/0!</v>
      </c>
      <c r="AB67" t="e">
        <f>AI28</f>
        <v>#DIV/0!</v>
      </c>
      <c r="AC67">
        <f>AI29</f>
        <v>0</v>
      </c>
      <c r="AD67">
        <f>AI30</f>
        <v>0</v>
      </c>
    </row>
    <row r="68" spans="1:40">
      <c r="A68">
        <f>AJ3</f>
        <v>0</v>
      </c>
      <c r="B68">
        <f>AJ4</f>
        <v>0</v>
      </c>
      <c r="C68">
        <f>AJ5</f>
        <v>0</v>
      </c>
      <c r="D68">
        <f>AJ6</f>
        <v>0</v>
      </c>
      <c r="E68">
        <f>AJ7</f>
        <v>0</v>
      </c>
      <c r="F68" s="28">
        <f>AJ8</f>
        <v>0</v>
      </c>
      <c r="G68">
        <f>AJ9</f>
        <v>0</v>
      </c>
      <c r="H68">
        <f>AJ10</f>
        <v>0</v>
      </c>
      <c r="I68">
        <f>AJ11</f>
        <v>0</v>
      </c>
      <c r="J68">
        <f>AJ12</f>
        <v>0</v>
      </c>
      <c r="K68" s="28">
        <f>AJ13</f>
        <v>0</v>
      </c>
      <c r="L68">
        <f>AJ14</f>
        <v>0</v>
      </c>
      <c r="M68" s="28">
        <f>AJ15</f>
        <v>0</v>
      </c>
      <c r="N68">
        <f>AJ16</f>
        <v>0</v>
      </c>
      <c r="O68" s="28">
        <f>AJ17</f>
        <v>0</v>
      </c>
      <c r="P68" s="28">
        <f t="shared" si="14"/>
        <v>0</v>
      </c>
      <c r="Q68" s="28">
        <f t="shared" si="9"/>
        <v>0</v>
      </c>
      <c r="R68" s="28">
        <f t="shared" si="10"/>
        <v>0</v>
      </c>
      <c r="S68" s="28">
        <f t="shared" si="11"/>
        <v>0</v>
      </c>
      <c r="T68" s="28">
        <f t="shared" si="15"/>
        <v>0</v>
      </c>
      <c r="U68">
        <f t="shared" si="16"/>
        <v>0</v>
      </c>
      <c r="V68" s="260" t="e">
        <f>AJ21</f>
        <v>#DIV/0!</v>
      </c>
      <c r="W68" s="260" t="e">
        <f>AJ22</f>
        <v>#DIV/0!</v>
      </c>
      <c r="X68">
        <f>AJ23</f>
        <v>0</v>
      </c>
      <c r="Y68">
        <f>AJ24</f>
        <v>0</v>
      </c>
      <c r="Z68" s="260" t="e">
        <f>AJ25</f>
        <v>#DIV/0!</v>
      </c>
      <c r="AA68" s="260" t="e">
        <f>AJ27</f>
        <v>#DIV/0!</v>
      </c>
      <c r="AB68" t="e">
        <f>AJ28</f>
        <v>#DIV/0!</v>
      </c>
      <c r="AC68">
        <f>AJ29</f>
        <v>0</v>
      </c>
      <c r="AD68">
        <f>AJ30</f>
        <v>0</v>
      </c>
    </row>
    <row r="69" spans="1:40">
      <c r="A69">
        <f>AK3</f>
        <v>0</v>
      </c>
      <c r="B69">
        <f>AK4</f>
        <v>0</v>
      </c>
      <c r="C69">
        <f>AK5</f>
        <v>0</v>
      </c>
      <c r="D69">
        <f>AK6</f>
        <v>0</v>
      </c>
      <c r="E69">
        <f>AK7</f>
        <v>0</v>
      </c>
      <c r="F69" s="28">
        <f>AK8</f>
        <v>0</v>
      </c>
      <c r="G69">
        <f>AK9</f>
        <v>0</v>
      </c>
      <c r="H69">
        <f>AK10</f>
        <v>0</v>
      </c>
      <c r="I69">
        <f>AK11</f>
        <v>0</v>
      </c>
      <c r="J69">
        <f>AK12</f>
        <v>0</v>
      </c>
      <c r="K69" s="28">
        <f>AK13</f>
        <v>0</v>
      </c>
      <c r="L69">
        <f>AK14</f>
        <v>0</v>
      </c>
      <c r="M69" s="28">
        <f>AK15</f>
        <v>0</v>
      </c>
      <c r="N69">
        <f>AK16</f>
        <v>0</v>
      </c>
      <c r="O69" s="28">
        <f>AK17</f>
        <v>0</v>
      </c>
      <c r="P69" s="28">
        <f t="shared" si="14"/>
        <v>0</v>
      </c>
      <c r="Q69" s="28">
        <f t="shared" si="9"/>
        <v>0</v>
      </c>
      <c r="R69" s="28">
        <f t="shared" si="10"/>
        <v>0</v>
      </c>
      <c r="S69" s="28">
        <f t="shared" si="11"/>
        <v>0</v>
      </c>
      <c r="T69" s="28">
        <f t="shared" si="15"/>
        <v>0</v>
      </c>
      <c r="U69">
        <f t="shared" si="16"/>
        <v>0</v>
      </c>
      <c r="V69" s="260" t="e">
        <f>AK21</f>
        <v>#DIV/0!</v>
      </c>
      <c r="W69" s="260" t="e">
        <f>AK22</f>
        <v>#DIV/0!</v>
      </c>
      <c r="X69">
        <f>AK23</f>
        <v>0</v>
      </c>
      <c r="Y69">
        <f>AK24</f>
        <v>0</v>
      </c>
      <c r="Z69" s="260" t="e">
        <f>AK25</f>
        <v>#DIV/0!</v>
      </c>
      <c r="AA69" s="260" t="e">
        <f>AK27</f>
        <v>#DIV/0!</v>
      </c>
      <c r="AB69" t="e">
        <f>AK28</f>
        <v>#DIV/0!</v>
      </c>
      <c r="AC69">
        <f>AK29</f>
        <v>0</v>
      </c>
      <c r="AD69">
        <f>AK30</f>
        <v>0</v>
      </c>
    </row>
    <row r="70" spans="1:40">
      <c r="A70">
        <f>AL3</f>
        <v>0</v>
      </c>
      <c r="B70">
        <f>AL4</f>
        <v>0</v>
      </c>
      <c r="C70">
        <f>AL5</f>
        <v>0</v>
      </c>
      <c r="D70">
        <f>AL6</f>
        <v>0</v>
      </c>
      <c r="E70">
        <f>AL7</f>
        <v>0</v>
      </c>
      <c r="F70" s="28">
        <f>AL8</f>
        <v>0</v>
      </c>
      <c r="G70">
        <f>AL9</f>
        <v>0</v>
      </c>
      <c r="H70">
        <f>AL10</f>
        <v>0</v>
      </c>
      <c r="I70">
        <f>AL11</f>
        <v>0</v>
      </c>
      <c r="J70">
        <f>AL12</f>
        <v>0</v>
      </c>
      <c r="K70" s="28">
        <f>AL13</f>
        <v>0</v>
      </c>
      <c r="L70">
        <f>AL14</f>
        <v>0</v>
      </c>
      <c r="M70" s="28">
        <f>AL15</f>
        <v>0</v>
      </c>
      <c r="N70">
        <f>AL16</f>
        <v>0</v>
      </c>
      <c r="O70" s="28">
        <f>AL17</f>
        <v>0</v>
      </c>
      <c r="P70" s="28">
        <f t="shared" si="14"/>
        <v>0</v>
      </c>
      <c r="Q70" s="28">
        <f t="shared" si="9"/>
        <v>0</v>
      </c>
      <c r="R70" s="28">
        <f t="shared" si="10"/>
        <v>0</v>
      </c>
      <c r="S70" s="28">
        <f t="shared" si="11"/>
        <v>0</v>
      </c>
      <c r="T70" s="28">
        <f t="shared" si="15"/>
        <v>0</v>
      </c>
      <c r="U70">
        <f t="shared" si="16"/>
        <v>0</v>
      </c>
      <c r="V70" s="260" t="e">
        <f>AL21</f>
        <v>#DIV/0!</v>
      </c>
      <c r="W70" s="260" t="e">
        <f>AL22</f>
        <v>#DIV/0!</v>
      </c>
      <c r="X70">
        <f>AL23</f>
        <v>0</v>
      </c>
      <c r="Y70">
        <f>AL24</f>
        <v>0</v>
      </c>
      <c r="Z70" s="260" t="e">
        <f>AL25</f>
        <v>#DIV/0!</v>
      </c>
      <c r="AA70" s="260" t="e">
        <f>AL27</f>
        <v>#DIV/0!</v>
      </c>
      <c r="AB70" t="e">
        <f>AL28</f>
        <v>#DIV/0!</v>
      </c>
      <c r="AC70">
        <f>AL29</f>
        <v>0</v>
      </c>
      <c r="AD70">
        <f>AL30</f>
        <v>0</v>
      </c>
    </row>
    <row r="71" spans="1:40">
      <c r="A71">
        <f>AM3</f>
        <v>0</v>
      </c>
      <c r="B71">
        <f>AM4</f>
        <v>0</v>
      </c>
      <c r="C71">
        <f>AM5</f>
        <v>0</v>
      </c>
      <c r="D71">
        <f>AM6</f>
        <v>0</v>
      </c>
      <c r="E71">
        <f>AM7</f>
        <v>0</v>
      </c>
      <c r="F71" s="28">
        <f>AM8</f>
        <v>0</v>
      </c>
      <c r="G71">
        <f>AM9</f>
        <v>0</v>
      </c>
      <c r="H71">
        <f>AM10</f>
        <v>0</v>
      </c>
      <c r="I71">
        <f>AM11</f>
        <v>0</v>
      </c>
      <c r="J71">
        <f>AM12</f>
        <v>0</v>
      </c>
      <c r="K71" s="28">
        <f>AM13</f>
        <v>0</v>
      </c>
      <c r="L71">
        <f>AM14</f>
        <v>0</v>
      </c>
      <c r="M71" s="28">
        <f>AM15</f>
        <v>0</v>
      </c>
      <c r="N71">
        <f>AM16</f>
        <v>0</v>
      </c>
      <c r="O71" s="28">
        <f>AM17</f>
        <v>0</v>
      </c>
      <c r="P71" s="28">
        <f t="shared" si="14"/>
        <v>0</v>
      </c>
      <c r="Q71" s="28">
        <f t="shared" si="9"/>
        <v>0</v>
      </c>
      <c r="R71" s="28">
        <f t="shared" si="10"/>
        <v>0</v>
      </c>
      <c r="S71" s="28">
        <f t="shared" si="11"/>
        <v>0</v>
      </c>
      <c r="T71" s="28">
        <f t="shared" si="15"/>
        <v>0</v>
      </c>
      <c r="U71">
        <f t="shared" si="16"/>
        <v>0</v>
      </c>
      <c r="V71" s="260" t="e">
        <f>AM21</f>
        <v>#DIV/0!</v>
      </c>
      <c r="W71" s="260" t="e">
        <f>AM22</f>
        <v>#DIV/0!</v>
      </c>
      <c r="X71">
        <f>AM23</f>
        <v>0</v>
      </c>
      <c r="Y71">
        <f>AM24</f>
        <v>0</v>
      </c>
      <c r="Z71" s="260" t="e">
        <f>AM25</f>
        <v>#DIV/0!</v>
      </c>
      <c r="AA71" s="260" t="e">
        <f>AM27</f>
        <v>#DIV/0!</v>
      </c>
      <c r="AB71" t="e">
        <f>AM28</f>
        <v>#DIV/0!</v>
      </c>
      <c r="AC71">
        <f>AM29</f>
        <v>0</v>
      </c>
      <c r="AD71">
        <f>AM30</f>
        <v>0</v>
      </c>
    </row>
    <row r="72" spans="1:40">
      <c r="A72">
        <f>AN3</f>
        <v>0</v>
      </c>
      <c r="B72">
        <f>AN4</f>
        <v>0</v>
      </c>
      <c r="C72">
        <f>AN5</f>
        <v>0</v>
      </c>
      <c r="D72">
        <f>AN6</f>
        <v>0</v>
      </c>
      <c r="E72">
        <f>AN7</f>
        <v>0</v>
      </c>
      <c r="F72" s="28">
        <f>AN8</f>
        <v>0</v>
      </c>
      <c r="G72">
        <f>AN9</f>
        <v>0</v>
      </c>
      <c r="H72">
        <f>AN10</f>
        <v>0</v>
      </c>
      <c r="I72">
        <f>AN11</f>
        <v>0</v>
      </c>
      <c r="J72">
        <f>AN12</f>
        <v>0</v>
      </c>
      <c r="K72" s="28">
        <f>AN13</f>
        <v>0</v>
      </c>
      <c r="L72">
        <f>AN14</f>
        <v>0</v>
      </c>
      <c r="M72" s="28">
        <f>AN15</f>
        <v>0</v>
      </c>
      <c r="N72">
        <f>AN16</f>
        <v>0</v>
      </c>
      <c r="O72" s="28">
        <f>AN17</f>
        <v>0</v>
      </c>
      <c r="P72" s="28">
        <f t="shared" si="14"/>
        <v>0</v>
      </c>
      <c r="Q72" s="28">
        <f t="shared" si="9"/>
        <v>0</v>
      </c>
      <c r="R72" s="28">
        <f t="shared" si="10"/>
        <v>0</v>
      </c>
      <c r="S72" s="28">
        <f t="shared" si="11"/>
        <v>0</v>
      </c>
      <c r="T72" s="28">
        <f t="shared" si="15"/>
        <v>0</v>
      </c>
      <c r="U72">
        <f t="shared" si="16"/>
        <v>0</v>
      </c>
      <c r="V72" s="260" t="e">
        <f>AN21</f>
        <v>#DIV/0!</v>
      </c>
      <c r="W72" s="260" t="e">
        <f>AN22</f>
        <v>#DIV/0!</v>
      </c>
      <c r="X72">
        <f>AN23</f>
        <v>0</v>
      </c>
      <c r="Y72">
        <f>AN24</f>
        <v>0</v>
      </c>
      <c r="Z72" s="260" t="e">
        <f>AN25</f>
        <v>#DIV/0!</v>
      </c>
      <c r="AA72" s="260" t="e">
        <f>AN27</f>
        <v>#DIV/0!</v>
      </c>
      <c r="AB72" t="e">
        <f>AN28</f>
        <v>#DIV/0!</v>
      </c>
      <c r="AC72">
        <f>AN29</f>
        <v>0</v>
      </c>
      <c r="AD72">
        <f>AN30</f>
        <v>0</v>
      </c>
    </row>
    <row r="73" spans="1:40">
      <c r="D73">
        <f>SUM(D34:D72)</f>
        <v>0</v>
      </c>
    </row>
    <row r="75" spans="1:40">
      <c r="A75" s="1" t="s">
        <v>184</v>
      </c>
    </row>
    <row r="77" spans="1:40">
      <c r="A77" s="456" t="s">
        <v>178</v>
      </c>
      <c r="F77" s="456" t="s">
        <v>179</v>
      </c>
      <c r="K77" s="456" t="s">
        <v>180</v>
      </c>
      <c r="P77" s="456" t="s">
        <v>182</v>
      </c>
      <c r="U77" s="456" t="s">
        <v>183</v>
      </c>
      <c r="AA77" s="456" t="s">
        <v>998</v>
      </c>
      <c r="AG77" s="456" t="s">
        <v>185</v>
      </c>
      <c r="AL77" s="456" t="s">
        <v>181</v>
      </c>
    </row>
    <row r="78" spans="1:40">
      <c r="A78" s="1" t="s">
        <v>412</v>
      </c>
      <c r="B78" s="1" t="s">
        <v>517</v>
      </c>
      <c r="C78" s="1" t="s">
        <v>504</v>
      </c>
      <c r="F78" s="1" t="s">
        <v>412</v>
      </c>
      <c r="G78" s="1" t="s">
        <v>517</v>
      </c>
      <c r="H78" s="1" t="s">
        <v>505</v>
      </c>
      <c r="K78" s="1" t="s">
        <v>412</v>
      </c>
      <c r="L78" s="1" t="s">
        <v>517</v>
      </c>
      <c r="M78" s="1" t="s">
        <v>503</v>
      </c>
      <c r="P78" s="1" t="s">
        <v>412</v>
      </c>
      <c r="Q78" s="1" t="s">
        <v>517</v>
      </c>
      <c r="R78" s="1" t="s">
        <v>507</v>
      </c>
      <c r="U78" s="1" t="s">
        <v>412</v>
      </c>
      <c r="V78" s="1" t="s">
        <v>517</v>
      </c>
      <c r="W78" s="1" t="s">
        <v>508</v>
      </c>
      <c r="AA78" s="1" t="s">
        <v>412</v>
      </c>
      <c r="AB78" s="1" t="s">
        <v>517</v>
      </c>
      <c r="AC78" s="1" t="s">
        <v>501</v>
      </c>
      <c r="AG78" s="1" t="s">
        <v>412</v>
      </c>
      <c r="AH78" s="1" t="s">
        <v>517</v>
      </c>
      <c r="AI78" s="1" t="s">
        <v>502</v>
      </c>
      <c r="AL78" s="1" t="s">
        <v>412</v>
      </c>
      <c r="AM78" s="1" t="s">
        <v>517</v>
      </c>
      <c r="AN78" s="1" t="s">
        <v>506</v>
      </c>
    </row>
    <row r="79" spans="1:40">
      <c r="A79" t="s">
        <v>455</v>
      </c>
      <c r="B79">
        <f>'Ettevõttepõhine jalajälg'!H55*1000</f>
        <v>0</v>
      </c>
      <c r="C79">
        <f>IFERROR(B79*$B$99/100/$B$98,0)</f>
        <v>0</v>
      </c>
      <c r="F79" t="s">
        <v>455</v>
      </c>
      <c r="G79">
        <f>'Ettevõttepõhine jalajälg'!H62*1000</f>
        <v>0</v>
      </c>
      <c r="H79">
        <f t="shared" ref="H79:H84" si="17">IFERROR(G79/$G$94,0)</f>
        <v>0</v>
      </c>
      <c r="K79" t="s">
        <v>455</v>
      </c>
      <c r="L79">
        <f>'Ettevõttepõhine jalajälg'!H47*1000</f>
        <v>0</v>
      </c>
      <c r="M79">
        <f t="shared" ref="M79:M85" si="18">IFERROR(L79/$L$95,0)</f>
        <v>0</v>
      </c>
      <c r="P79" t="s">
        <v>455</v>
      </c>
      <c r="Q79">
        <f>'Ettevõttepõhine jalajälg'!H76*1000</f>
        <v>0</v>
      </c>
      <c r="R79">
        <f t="shared" ref="R79:R90" si="19">IFERROR(Q79/$Q$95,0)</f>
        <v>0</v>
      </c>
      <c r="U79" t="s">
        <v>455</v>
      </c>
      <c r="V79">
        <f>'Ettevõttepõhine jalajälg'!H82*1000</f>
        <v>0</v>
      </c>
      <c r="W79">
        <f t="shared" ref="W79:W90" si="20">IFERROR(V79/$V$95,0)</f>
        <v>0</v>
      </c>
      <c r="AA79" t="s">
        <v>455</v>
      </c>
      <c r="AB79">
        <f>SUM(X176,AW176,BV176)</f>
        <v>0</v>
      </c>
      <c r="AC79">
        <f>IFERROR(AB79/$AB$99*$AD$95,0)</f>
        <v>0</v>
      </c>
      <c r="AG79" t="s">
        <v>455</v>
      </c>
      <c r="AH79">
        <f>SUM(X176,AW176,BV176)</f>
        <v>0</v>
      </c>
      <c r="AI79">
        <f>IFERROR(AH79/($AB$94+$AB$95)*$AD$97,0)</f>
        <v>0</v>
      </c>
      <c r="AL79" t="s">
        <v>455</v>
      </c>
      <c r="AM79">
        <f>SUM(K258,W258,AJ258)</f>
        <v>0</v>
      </c>
      <c r="AN79">
        <f>IFERROR(AM79/$AM$95,0)</f>
        <v>0</v>
      </c>
    </row>
    <row r="80" spans="1:40">
      <c r="A80" t="s">
        <v>456</v>
      </c>
      <c r="B80" s="75">
        <f>'Ettevõttepõhine jalajälg'!H56*1000</f>
        <v>0</v>
      </c>
      <c r="C80">
        <f t="shared" ref="C80:C92" si="21">IFERROR(B80*$B$99/100/$B$98,0)</f>
        <v>0</v>
      </c>
      <c r="F80" t="s">
        <v>456</v>
      </c>
      <c r="G80">
        <f>'Ettevõttepõhine jalajälg'!H63*1000</f>
        <v>0</v>
      </c>
      <c r="H80">
        <f t="shared" si="17"/>
        <v>0</v>
      </c>
      <c r="K80" t="s">
        <v>456</v>
      </c>
      <c r="L80">
        <f>'Ettevõttepõhine jalajälg'!H48*1000</f>
        <v>0</v>
      </c>
      <c r="M80">
        <f t="shared" si="18"/>
        <v>0</v>
      </c>
      <c r="P80" t="s">
        <v>458</v>
      </c>
      <c r="Q80">
        <f>'Ettevõttepõhine jalajälg'!H77*1000</f>
        <v>0</v>
      </c>
      <c r="R80">
        <f t="shared" si="19"/>
        <v>0</v>
      </c>
      <c r="U80" t="s">
        <v>458</v>
      </c>
      <c r="V80">
        <f>'Ettevõttepõhine jalajälg'!H83*1000</f>
        <v>0</v>
      </c>
      <c r="W80">
        <f t="shared" si="20"/>
        <v>0</v>
      </c>
      <c r="AA80" t="s">
        <v>456</v>
      </c>
      <c r="AB80">
        <f>SUM(D243,AC243,BB243)*265</f>
        <v>0</v>
      </c>
      <c r="AC80">
        <f t="shared" ref="AC80:AC92" si="22">IFERROR(AB80/$AB$99*$AD$95,0)</f>
        <v>0</v>
      </c>
      <c r="AG80" t="s">
        <v>456</v>
      </c>
      <c r="AH80">
        <f>SUM(D243,AC243,BB243)*265</f>
        <v>0</v>
      </c>
      <c r="AI80">
        <f t="shared" ref="AI80:AI92" si="23">IFERROR(AH80/($AB$94+$AB$95)*$AD$97,0)</f>
        <v>0</v>
      </c>
      <c r="AL80" t="s">
        <v>458</v>
      </c>
      <c r="AM80" t="e">
        <f>SUM(D268,P268,AC268)*265</f>
        <v>#N/A</v>
      </c>
      <c r="AN80">
        <f>IFERROR(AM80/$AM$95,0)</f>
        <v>0</v>
      </c>
    </row>
    <row r="81" spans="1:40">
      <c r="A81" t="s">
        <v>458</v>
      </c>
      <c r="B81">
        <f>'Ettevõttepõhine jalajälg'!H57*1000</f>
        <v>0</v>
      </c>
      <c r="C81">
        <f t="shared" si="21"/>
        <v>0</v>
      </c>
      <c r="F81" t="s">
        <v>458</v>
      </c>
      <c r="G81">
        <f>'Ettevõttepõhine jalajälg'!H64*1000</f>
        <v>0</v>
      </c>
      <c r="H81">
        <f t="shared" si="17"/>
        <v>0</v>
      </c>
      <c r="K81" t="s">
        <v>458</v>
      </c>
      <c r="L81">
        <f>'Ettevõttepõhine jalajälg'!H49*1000</f>
        <v>0</v>
      </c>
      <c r="M81">
        <f t="shared" si="18"/>
        <v>0</v>
      </c>
      <c r="P81" t="s">
        <v>459</v>
      </c>
      <c r="Q81">
        <f>'Ettevõttepõhine jalajälg'!H78*1000</f>
        <v>0</v>
      </c>
      <c r="R81">
        <f t="shared" si="19"/>
        <v>0</v>
      </c>
      <c r="U81" t="s">
        <v>459</v>
      </c>
      <c r="V81">
        <f>'Ettevõttepõhine jalajälg'!H84*1000</f>
        <v>0</v>
      </c>
      <c r="W81">
        <f t="shared" si="20"/>
        <v>0</v>
      </c>
      <c r="AA81" t="s">
        <v>458</v>
      </c>
      <c r="AB81">
        <f>SUM(D235,AC235,BB235)*265</f>
        <v>0</v>
      </c>
      <c r="AC81">
        <f t="shared" si="22"/>
        <v>0</v>
      </c>
      <c r="AG81" t="s">
        <v>458</v>
      </c>
      <c r="AH81">
        <f>SUM(D235,AC235,BB235)*265</f>
        <v>0</v>
      </c>
      <c r="AI81">
        <f t="shared" si="23"/>
        <v>0</v>
      </c>
      <c r="AL81" t="s">
        <v>459</v>
      </c>
      <c r="AM81">
        <f>SUM(D282,P282,AC282)*265</f>
        <v>0</v>
      </c>
      <c r="AN81">
        <f>IFERROR(AM81/$AM$95,0)</f>
        <v>0</v>
      </c>
    </row>
    <row r="82" spans="1:40">
      <c r="A82" t="s">
        <v>459</v>
      </c>
      <c r="B82">
        <f>'Ettevõttepõhine jalajälg'!H58*1000</f>
        <v>0</v>
      </c>
      <c r="C82">
        <f t="shared" si="21"/>
        <v>0</v>
      </c>
      <c r="F82" t="s">
        <v>459</v>
      </c>
      <c r="G82">
        <f>'Ettevõttepõhine jalajälg'!H65*1000</f>
        <v>0</v>
      </c>
      <c r="H82">
        <f t="shared" si="17"/>
        <v>0</v>
      </c>
      <c r="K82" t="s">
        <v>459</v>
      </c>
      <c r="L82">
        <f>'Ettevõttepõhine jalajälg'!H50*1000</f>
        <v>0</v>
      </c>
      <c r="M82">
        <f t="shared" si="18"/>
        <v>0</v>
      </c>
      <c r="P82" t="s">
        <v>460</v>
      </c>
      <c r="Q82">
        <f>'Ettevõttepõhine jalajälg'!H79*1000</f>
        <v>0</v>
      </c>
      <c r="R82">
        <f t="shared" si="19"/>
        <v>0</v>
      </c>
      <c r="U82" t="s">
        <v>460</v>
      </c>
      <c r="V82">
        <f>'Ettevõttepõhine jalajälg'!H85*1000</f>
        <v>0</v>
      </c>
      <c r="W82">
        <f t="shared" si="20"/>
        <v>0</v>
      </c>
      <c r="AA82" t="s">
        <v>459</v>
      </c>
      <c r="AB82">
        <f>SUM(D246,AC246,BB246)*265</f>
        <v>0</v>
      </c>
      <c r="AC82">
        <f t="shared" si="22"/>
        <v>0</v>
      </c>
      <c r="AG82" t="s">
        <v>459</v>
      </c>
      <c r="AH82">
        <f>SUM(D246,AC246,BB246)*265</f>
        <v>0</v>
      </c>
      <c r="AI82">
        <f t="shared" si="23"/>
        <v>0</v>
      </c>
      <c r="AL82" t="s">
        <v>460</v>
      </c>
      <c r="AM82" t="e">
        <f>SUM(D257,P257,AC257)*28</f>
        <v>#N/A</v>
      </c>
      <c r="AN82">
        <f>IFERROR(AM82/$AM$95,0)</f>
        <v>0</v>
      </c>
    </row>
    <row r="83" spans="1:40">
      <c r="A83" t="s">
        <v>460</v>
      </c>
      <c r="B83">
        <f>'Ettevõttepõhine jalajälg'!H59*1000</f>
        <v>0</v>
      </c>
      <c r="C83">
        <f t="shared" si="21"/>
        <v>0</v>
      </c>
      <c r="F83" t="s">
        <v>460</v>
      </c>
      <c r="G83">
        <f>'Ettevõttepõhine jalajälg'!H66*1000</f>
        <v>0</v>
      </c>
      <c r="H83">
        <f t="shared" si="17"/>
        <v>0</v>
      </c>
      <c r="K83" t="s">
        <v>460</v>
      </c>
      <c r="L83">
        <f>'Ettevõttepõhine jalajälg'!H51*1000</f>
        <v>0</v>
      </c>
      <c r="M83">
        <f t="shared" si="18"/>
        <v>0</v>
      </c>
      <c r="P83" t="s">
        <v>999</v>
      </c>
      <c r="Q83">
        <f>B122*265</f>
        <v>0</v>
      </c>
      <c r="R83">
        <f t="shared" si="19"/>
        <v>0</v>
      </c>
      <c r="U83" t="s">
        <v>999</v>
      </c>
      <c r="V83">
        <f>B128*265</f>
        <v>0</v>
      </c>
      <c r="W83">
        <f t="shared" si="20"/>
        <v>0</v>
      </c>
      <c r="AA83" t="s">
        <v>460</v>
      </c>
      <c r="AB83">
        <f>SUM(D229,AC229,BB229)*28</f>
        <v>0</v>
      </c>
      <c r="AC83">
        <f t="shared" si="22"/>
        <v>0</v>
      </c>
      <c r="AG83" t="s">
        <v>460</v>
      </c>
      <c r="AH83">
        <f>SUM(D229,AC229,BB229)*28</f>
        <v>0</v>
      </c>
      <c r="AI83">
        <f t="shared" si="23"/>
        <v>0</v>
      </c>
      <c r="AL83" t="s">
        <v>462</v>
      </c>
      <c r="AM83">
        <f>SUM(D253,P253,AC253)*28</f>
        <v>0</v>
      </c>
      <c r="AN83">
        <f>IFERROR(AM83/$AM$95,0)</f>
        <v>0</v>
      </c>
    </row>
    <row r="84" spans="1:40">
      <c r="A84" t="s">
        <v>999</v>
      </c>
      <c r="B84">
        <f>B146*265</f>
        <v>0</v>
      </c>
      <c r="C84">
        <f t="shared" si="21"/>
        <v>0</v>
      </c>
      <c r="F84" t="s">
        <v>999</v>
      </c>
      <c r="G84">
        <f>B152*265</f>
        <v>0</v>
      </c>
      <c r="H84">
        <f t="shared" si="17"/>
        <v>0</v>
      </c>
      <c r="K84" t="s">
        <v>462</v>
      </c>
      <c r="L84">
        <f>'Ettevõttepõhine jalajälg'!H52*1000</f>
        <v>0</v>
      </c>
      <c r="M84">
        <f t="shared" si="18"/>
        <v>0</v>
      </c>
      <c r="P84" t="s">
        <v>463</v>
      </c>
      <c r="Q84">
        <f>'Ettevõttepõhine jalajälg'!H80*1000</f>
        <v>0</v>
      </c>
      <c r="R84">
        <f t="shared" si="19"/>
        <v>0</v>
      </c>
      <c r="U84" t="s">
        <v>463</v>
      </c>
      <c r="V84">
        <f>'Ettevõttepõhine jalajälg'!H86*1000</f>
        <v>0</v>
      </c>
      <c r="W84">
        <f t="shared" si="20"/>
        <v>0</v>
      </c>
      <c r="AA84" t="s">
        <v>462</v>
      </c>
      <c r="AB84">
        <f>SUM(D215,AC215,BB215)*28</f>
        <v>0</v>
      </c>
      <c r="AC84">
        <f t="shared" si="22"/>
        <v>0</v>
      </c>
      <c r="AG84" t="s">
        <v>462</v>
      </c>
      <c r="AH84">
        <f>SUM(D215,AC215,BB215)*28</f>
        <v>0</v>
      </c>
      <c r="AI84">
        <f t="shared" si="23"/>
        <v>0</v>
      </c>
      <c r="AL84" t="s">
        <v>806</v>
      </c>
      <c r="AM84">
        <f>B134*265</f>
        <v>0</v>
      </c>
      <c r="AN84">
        <f>IFERROR(AM84/AM95,0)</f>
        <v>0</v>
      </c>
    </row>
    <row r="85" spans="1:40">
      <c r="A85" t="s">
        <v>463</v>
      </c>
      <c r="B85">
        <f>'Ettevõttepõhine jalajälg'!H60*1000</f>
        <v>0</v>
      </c>
      <c r="C85">
        <f t="shared" si="21"/>
        <v>0</v>
      </c>
      <c r="F85" t="s">
        <v>463</v>
      </c>
      <c r="G85">
        <f>'Ettevõttepõhine jalajälg'!H67*1000</f>
        <v>0</v>
      </c>
      <c r="H85">
        <f t="shared" ref="H85:H92" si="24">IFERROR(G85/$G$94,0)</f>
        <v>0</v>
      </c>
      <c r="K85" t="s">
        <v>806</v>
      </c>
      <c r="L85">
        <f>B158*265</f>
        <v>0</v>
      </c>
      <c r="M85">
        <f t="shared" si="18"/>
        <v>0</v>
      </c>
      <c r="P85" t="s">
        <v>489</v>
      </c>
      <c r="Q85">
        <f>'Ettevõttepõhine jalajälg'!H98*1000</f>
        <v>0</v>
      </c>
      <c r="R85">
        <f t="shared" si="19"/>
        <v>0</v>
      </c>
      <c r="U85" t="s">
        <v>489</v>
      </c>
      <c r="V85">
        <f>'Ettevõttepõhine jalajälg'!H100*1000</f>
        <v>0</v>
      </c>
      <c r="W85">
        <f t="shared" si="20"/>
        <v>0</v>
      </c>
      <c r="AA85" t="s">
        <v>806</v>
      </c>
      <c r="AB85">
        <f>B140*265</f>
        <v>0</v>
      </c>
      <c r="AC85">
        <f t="shared" si="22"/>
        <v>0</v>
      </c>
      <c r="AG85" t="s">
        <v>806</v>
      </c>
      <c r="AH85">
        <f>B140*265</f>
        <v>0</v>
      </c>
      <c r="AI85">
        <f t="shared" si="23"/>
        <v>0</v>
      </c>
      <c r="AL85" t="s">
        <v>463</v>
      </c>
      <c r="AM85">
        <f>SUM(K254,W254,AJ254)</f>
        <v>0</v>
      </c>
      <c r="AN85">
        <f t="shared" ref="AN85:AN91" si="25">IFERROR(AM85/$AM$95,0)</f>
        <v>0</v>
      </c>
    </row>
    <row r="86" spans="1:40">
      <c r="A86" t="s">
        <v>489</v>
      </c>
      <c r="B86">
        <f>'Ettevõttepõhine jalajälg'!H92*1000</f>
        <v>0</v>
      </c>
      <c r="C86">
        <f t="shared" si="21"/>
        <v>0</v>
      </c>
      <c r="F86" t="s">
        <v>489</v>
      </c>
      <c r="G86">
        <f>'Ettevõttepõhine jalajälg'!H94*1000</f>
        <v>0</v>
      </c>
      <c r="H86">
        <f t="shared" si="24"/>
        <v>0</v>
      </c>
      <c r="K86" t="s">
        <v>463</v>
      </c>
      <c r="L86">
        <f>'Ettevõttepõhine jalajälg'!H53*1000</f>
        <v>0</v>
      </c>
      <c r="M86">
        <f t="shared" ref="M86:M92" si="26">IFERROR(L86/$L$95,0)</f>
        <v>0</v>
      </c>
      <c r="P86" t="s">
        <v>1000</v>
      </c>
      <c r="Q86">
        <f>'Ettevõttepõhine jalajälg'!H124*1000</f>
        <v>0</v>
      </c>
      <c r="R86">
        <f t="shared" si="19"/>
        <v>0</v>
      </c>
      <c r="U86" t="s">
        <v>1000</v>
      </c>
      <c r="V86">
        <f>'Ettevõttepõhine jalajälg'!H128*1000</f>
        <v>0</v>
      </c>
      <c r="W86">
        <f t="shared" si="20"/>
        <v>0</v>
      </c>
      <c r="AA86" t="s">
        <v>463</v>
      </c>
      <c r="AB86">
        <f>SUM(X173,AW173,BV173)</f>
        <v>0</v>
      </c>
      <c r="AC86">
        <f t="shared" si="22"/>
        <v>0</v>
      </c>
      <c r="AG86" t="s">
        <v>463</v>
      </c>
      <c r="AH86">
        <f>SUM(X173,AW173,BV173)</f>
        <v>0</v>
      </c>
      <c r="AI86">
        <f t="shared" si="23"/>
        <v>0</v>
      </c>
      <c r="AL86" t="s">
        <v>489</v>
      </c>
      <c r="AM86">
        <f>SUM(K261,W261,AJ261)</f>
        <v>0</v>
      </c>
      <c r="AN86">
        <f t="shared" si="25"/>
        <v>0</v>
      </c>
    </row>
    <row r="87" spans="1:40">
      <c r="A87" t="s">
        <v>1000</v>
      </c>
      <c r="B87">
        <f>'Ettevõttepõhine jalajälg'!H110*1000</f>
        <v>0</v>
      </c>
      <c r="C87">
        <f t="shared" si="21"/>
        <v>0</v>
      </c>
      <c r="F87" t="s">
        <v>1000</v>
      </c>
      <c r="G87">
        <f>'Ettevõttepõhine jalajälg'!H115*1000</f>
        <v>0</v>
      </c>
      <c r="H87">
        <f t="shared" si="24"/>
        <v>0</v>
      </c>
      <c r="K87" t="s">
        <v>489</v>
      </c>
      <c r="L87">
        <f>'Ettevõttepõhine jalajälg'!H90*1000</f>
        <v>0</v>
      </c>
      <c r="M87">
        <f t="shared" si="26"/>
        <v>0</v>
      </c>
      <c r="P87" t="s">
        <v>1001</v>
      </c>
      <c r="Q87">
        <f>T115</f>
        <v>0</v>
      </c>
      <c r="R87">
        <f t="shared" si="19"/>
        <v>0</v>
      </c>
      <c r="U87" t="s">
        <v>1001</v>
      </c>
      <c r="V87">
        <f>Z115</f>
        <v>0</v>
      </c>
      <c r="W87">
        <f t="shared" si="20"/>
        <v>0</v>
      </c>
      <c r="AA87" t="s">
        <v>489</v>
      </c>
      <c r="AB87">
        <f>SUM(X179,AW179,BV179)</f>
        <v>0</v>
      </c>
      <c r="AC87">
        <f t="shared" si="22"/>
        <v>0</v>
      </c>
      <c r="AG87" t="s">
        <v>489</v>
      </c>
      <c r="AH87">
        <f>SUM(X179,AW179,BV179)</f>
        <v>0</v>
      </c>
      <c r="AI87">
        <f t="shared" si="23"/>
        <v>0</v>
      </c>
      <c r="AL87" t="s">
        <v>1000</v>
      </c>
      <c r="AM87">
        <f>SUM(K264,W264,AJ264)</f>
        <v>0</v>
      </c>
      <c r="AN87">
        <f t="shared" si="25"/>
        <v>0</v>
      </c>
    </row>
    <row r="88" spans="1:40">
      <c r="A88" t="s">
        <v>1001</v>
      </c>
      <c r="B88">
        <f>D115</f>
        <v>0</v>
      </c>
      <c r="C88">
        <f t="shared" si="21"/>
        <v>0</v>
      </c>
      <c r="F88" t="s">
        <v>1001</v>
      </c>
      <c r="G88">
        <f>J115</f>
        <v>0</v>
      </c>
      <c r="H88">
        <f t="shared" si="24"/>
        <v>0</v>
      </c>
      <c r="K88" t="s">
        <v>1000</v>
      </c>
      <c r="L88">
        <f>'Ettevõttepõhine jalajälg'!H106*1000</f>
        <v>0</v>
      </c>
      <c r="M88">
        <f t="shared" si="26"/>
        <v>0</v>
      </c>
      <c r="P88" t="s">
        <v>1002</v>
      </c>
      <c r="Q88">
        <f>'Ettevõttepõhine jalajälg'!H126*1000</f>
        <v>0</v>
      </c>
      <c r="R88">
        <f t="shared" si="19"/>
        <v>0</v>
      </c>
      <c r="U88" t="s">
        <v>1002</v>
      </c>
      <c r="V88">
        <f>'Ettevõttepõhine jalajälg'!H130*1000</f>
        <v>0</v>
      </c>
      <c r="W88">
        <f t="shared" si="20"/>
        <v>0</v>
      </c>
      <c r="AA88" t="s">
        <v>1000</v>
      </c>
      <c r="AB88">
        <f>SUM(X181,AW181,BV181)</f>
        <v>0</v>
      </c>
      <c r="AC88">
        <f t="shared" si="22"/>
        <v>0</v>
      </c>
      <c r="AG88" t="s">
        <v>1000</v>
      </c>
      <c r="AH88">
        <f>SUM(X181,AW181,BV181)</f>
        <v>0</v>
      </c>
      <c r="AI88">
        <f t="shared" si="23"/>
        <v>0</v>
      </c>
      <c r="AL88" t="s">
        <v>1001</v>
      </c>
      <c r="AM88">
        <f>SUM(K279,W279,AJ279)</f>
        <v>0</v>
      </c>
      <c r="AN88">
        <f t="shared" si="25"/>
        <v>0</v>
      </c>
    </row>
    <row r="89" spans="1:40">
      <c r="A89" t="s">
        <v>479</v>
      </c>
      <c r="B89">
        <f>'Ettevõttepõhine jalajälg'!H112*1000</f>
        <v>0</v>
      </c>
      <c r="C89">
        <f t="shared" si="21"/>
        <v>0</v>
      </c>
      <c r="F89" t="s">
        <v>479</v>
      </c>
      <c r="G89">
        <f>'Ettevõttepõhine jalajälg'!H117*1000</f>
        <v>0</v>
      </c>
      <c r="H89">
        <f t="shared" si="24"/>
        <v>0</v>
      </c>
      <c r="K89" t="s">
        <v>1001</v>
      </c>
      <c r="L89">
        <f>O115</f>
        <v>0</v>
      </c>
      <c r="M89">
        <f t="shared" si="26"/>
        <v>0</v>
      </c>
      <c r="P89" t="s">
        <v>480</v>
      </c>
      <c r="Q89">
        <f>SUM('Ettevõttepõhine jalajälg'!H147:H148)*1000</f>
        <v>0</v>
      </c>
      <c r="R89">
        <f t="shared" si="19"/>
        <v>0</v>
      </c>
      <c r="U89" t="s">
        <v>480</v>
      </c>
      <c r="V89">
        <f>SUM('Ettevõttepõhine jalajälg'!H150:H151)*1000</f>
        <v>0</v>
      </c>
      <c r="W89">
        <f t="shared" si="20"/>
        <v>0</v>
      </c>
      <c r="AA89" t="s">
        <v>1001</v>
      </c>
      <c r="AB89">
        <f>SUM(X195,AW195,BV195)</f>
        <v>0</v>
      </c>
      <c r="AC89">
        <f t="shared" si="22"/>
        <v>0</v>
      </c>
      <c r="AG89" t="s">
        <v>1001</v>
      </c>
      <c r="AH89">
        <f>SUM(X195,AW195,BV195)</f>
        <v>0</v>
      </c>
      <c r="AI89">
        <f t="shared" si="23"/>
        <v>0</v>
      </c>
      <c r="AL89" t="s">
        <v>1002</v>
      </c>
      <c r="AM89">
        <f>SUM(H330,T331,AG332)</f>
        <v>0</v>
      </c>
      <c r="AN89">
        <f t="shared" si="25"/>
        <v>0</v>
      </c>
    </row>
    <row r="90" spans="1:40">
      <c r="A90" t="s">
        <v>1002</v>
      </c>
      <c r="B90">
        <f>'Ettevõttepõhine jalajälg'!H113*1000</f>
        <v>0</v>
      </c>
      <c r="C90">
        <f t="shared" si="21"/>
        <v>0</v>
      </c>
      <c r="F90" t="s">
        <v>1002</v>
      </c>
      <c r="G90">
        <f>'Ettevõttepõhine jalajälg'!H118*1000</f>
        <v>0</v>
      </c>
      <c r="H90">
        <f t="shared" si="24"/>
        <v>0</v>
      </c>
      <c r="K90" t="s">
        <v>1002</v>
      </c>
      <c r="L90">
        <f>'Ettevõttepõhine jalajälg'!H108*1000</f>
        <v>0</v>
      </c>
      <c r="M90">
        <f t="shared" si="26"/>
        <v>0</v>
      </c>
      <c r="P90" t="s">
        <v>453</v>
      </c>
      <c r="Q90">
        <f>'Ettevõttepõhine jalajälg'!H184*1000</f>
        <v>0</v>
      </c>
      <c r="R90">
        <f t="shared" si="19"/>
        <v>0</v>
      </c>
      <c r="U90" t="s">
        <v>453</v>
      </c>
      <c r="V90">
        <f>'Ettevõttepõhine jalajälg'!H186*1000</f>
        <v>0</v>
      </c>
      <c r="W90">
        <f t="shared" si="20"/>
        <v>0</v>
      </c>
      <c r="AA90" t="s">
        <v>1002</v>
      </c>
      <c r="AB90">
        <f>SUM(U249,AT247,BS247)</f>
        <v>0</v>
      </c>
      <c r="AC90">
        <f t="shared" si="22"/>
        <v>0</v>
      </c>
      <c r="AG90" t="s">
        <v>1002</v>
      </c>
      <c r="AH90">
        <f>SUM(U249,AT247,BS247)</f>
        <v>0</v>
      </c>
      <c r="AI90">
        <f t="shared" si="23"/>
        <v>0</v>
      </c>
      <c r="AL90" t="s">
        <v>480</v>
      </c>
      <c r="AM90">
        <f>SUM(K319,W320,AJ321)</f>
        <v>0</v>
      </c>
      <c r="AN90">
        <f t="shared" si="25"/>
        <v>0</v>
      </c>
    </row>
    <row r="91" spans="1:40">
      <c r="A91" t="s">
        <v>480</v>
      </c>
      <c r="B91">
        <f>SUM('Ettevõttepõhine jalajälg'!H138:H139)*1000</f>
        <v>0</v>
      </c>
      <c r="C91">
        <f t="shared" si="21"/>
        <v>0</v>
      </c>
      <c r="F91" t="s">
        <v>480</v>
      </c>
      <c r="G91">
        <f>SUM('Ettevõttepõhine jalajälg'!H141:H142)*1000</f>
        <v>0</v>
      </c>
      <c r="H91">
        <f t="shared" si="24"/>
        <v>0</v>
      </c>
      <c r="K91" t="s">
        <v>480</v>
      </c>
      <c r="L91">
        <f>SUM('Ettevõttepõhine jalajälg'!H135:H136)*1000</f>
        <v>0</v>
      </c>
      <c r="M91">
        <f t="shared" si="26"/>
        <v>0</v>
      </c>
      <c r="AA91" t="s">
        <v>480</v>
      </c>
      <c r="AB91">
        <f>SUM(X238,AW236,BV236)</f>
        <v>0</v>
      </c>
      <c r="AC91">
        <f t="shared" si="22"/>
        <v>0</v>
      </c>
      <c r="AG91" t="s">
        <v>480</v>
      </c>
      <c r="AH91">
        <f>SUM(X238,AW236,BV236)</f>
        <v>0</v>
      </c>
      <c r="AI91">
        <f t="shared" si="23"/>
        <v>0</v>
      </c>
      <c r="AL91" t="s">
        <v>453</v>
      </c>
      <c r="AM91">
        <f>SUM(J308,V309,AI310)</f>
        <v>0</v>
      </c>
      <c r="AN91">
        <f t="shared" si="25"/>
        <v>0</v>
      </c>
    </row>
    <row r="92" spans="1:40">
      <c r="A92" t="s">
        <v>453</v>
      </c>
      <c r="B92">
        <f>'Ettevõttepõhine jalajälg'!H178*1000</f>
        <v>0</v>
      </c>
      <c r="C92">
        <f t="shared" si="21"/>
        <v>0</v>
      </c>
      <c r="F92" t="s">
        <v>453</v>
      </c>
      <c r="G92">
        <f>'Ettevõttepõhine jalajälg'!H180*1000</f>
        <v>0</v>
      </c>
      <c r="H92">
        <f t="shared" si="24"/>
        <v>0</v>
      </c>
      <c r="K92" t="s">
        <v>453</v>
      </c>
      <c r="L92">
        <f>'Ettevõttepõhine jalajälg'!H176*1000</f>
        <v>0</v>
      </c>
      <c r="M92">
        <f t="shared" si="26"/>
        <v>0</v>
      </c>
      <c r="AA92" t="s">
        <v>453</v>
      </c>
      <c r="AB92">
        <f>SUM(X227,AW225,BV225)</f>
        <v>0</v>
      </c>
      <c r="AC92">
        <f t="shared" si="22"/>
        <v>0</v>
      </c>
      <c r="AG92" t="s">
        <v>453</v>
      </c>
      <c r="AH92">
        <f>SUM(X227,AW225,BV225)</f>
        <v>0</v>
      </c>
      <c r="AI92">
        <f t="shared" si="23"/>
        <v>0</v>
      </c>
    </row>
    <row r="94" spans="1:40">
      <c r="A94" t="s">
        <v>1003</v>
      </c>
      <c r="B94">
        <f>Loomakasvatus!D219</f>
        <v>0</v>
      </c>
      <c r="F94" t="s">
        <v>1004</v>
      </c>
      <c r="G94">
        <f>Loomakasvatus!D309+Loomakasvatus!D310</f>
        <v>0</v>
      </c>
      <c r="AA94" t="s">
        <v>1005</v>
      </c>
      <c r="AB94">
        <f>SUM(Loomakasvatus!D31,Loomakasvatus!T31,Loomakasvatus!AJ31)</f>
        <v>0</v>
      </c>
      <c r="AD94" t="s">
        <v>1006</v>
      </c>
    </row>
    <row r="95" spans="1:40">
      <c r="A95" t="s">
        <v>1007</v>
      </c>
      <c r="B95">
        <f>Loomakasvatus!D231</f>
        <v>0</v>
      </c>
      <c r="K95" t="s">
        <v>1008</v>
      </c>
      <c r="L95">
        <f>Loomakasvatus!D122+Loomakasvatus!D123</f>
        <v>0</v>
      </c>
      <c r="P95" t="s">
        <v>1009</v>
      </c>
      <c r="Q95">
        <f>Loomakasvatus!D493+Loomakasvatus!D494</f>
        <v>0</v>
      </c>
      <c r="U95" t="s">
        <v>1010</v>
      </c>
      <c r="V95">
        <f>Loomakasvatus!D581+Loomakasvatus!D582</f>
        <v>0</v>
      </c>
      <c r="AA95" t="s">
        <v>1011</v>
      </c>
      <c r="AB95">
        <f>IFERROR(SUM(Loomakasvatus!D30,Loomakasvatus!T30,Loomakasvatus!AJ30),0)</f>
        <v>0</v>
      </c>
      <c r="AD95">
        <f>IFERROR(1-6.04*((AB94+AB95)/AB99),0)</f>
        <v>0</v>
      </c>
      <c r="AL95" t="s">
        <v>1012</v>
      </c>
      <c r="AM95">
        <f>IFERROR(SUM(AM97:AM98),0)</f>
        <v>0</v>
      </c>
    </row>
    <row r="96" spans="1:40">
      <c r="A96" t="s">
        <v>1013</v>
      </c>
      <c r="B96">
        <f>Loomakasvatus!D220</f>
        <v>0</v>
      </c>
      <c r="AA96" t="s">
        <v>498</v>
      </c>
      <c r="AB96">
        <f>IFERROR(SUM(D180,AC180,BB180),0)</f>
        <v>0</v>
      </c>
      <c r="AD96" t="s">
        <v>1014</v>
      </c>
    </row>
    <row r="97" spans="1:39">
      <c r="A97" t="s">
        <v>1015</v>
      </c>
      <c r="B97">
        <f>Loomakasvatus!D232</f>
        <v>0</v>
      </c>
      <c r="AA97" t="s">
        <v>1016</v>
      </c>
      <c r="AB97">
        <f>IFERROR(SUM(Loomakasvatus!D29,Loomakasvatus!T29,Loomakasvatus!AJ29),0)</f>
        <v>0</v>
      </c>
      <c r="AD97">
        <f>1-AD95</f>
        <v>1</v>
      </c>
      <c r="AL97" t="s">
        <v>1017</v>
      </c>
      <c r="AM97">
        <f>IFERROR(SUM(Loomakasvatus!D405,Loomakasvatus!K405,Loomakasvatus!P405),0)</f>
        <v>0</v>
      </c>
    </row>
    <row r="98" spans="1:39">
      <c r="A98" t="s">
        <v>1018</v>
      </c>
      <c r="B98">
        <f>Loomakasvatus!D218</f>
        <v>0</v>
      </c>
      <c r="AA98" t="s">
        <v>1019</v>
      </c>
      <c r="AB98">
        <f>IFERROR(SUM(Loomakasvatus!D28,Loomakasvatus!T28,Loomakasvatus!AJ28),0)</f>
        <v>0</v>
      </c>
      <c r="AL98" t="s">
        <v>1020</v>
      </c>
      <c r="AM98">
        <f>IFERROR(SUM(Loomakasvatus!D406,Loomakasvatus!K406,Loomakasvatus!P406),0)</f>
        <v>0</v>
      </c>
    </row>
    <row r="99" spans="1:39">
      <c r="A99" t="s">
        <v>1021</v>
      </c>
      <c r="B99">
        <f>Loomakasvatus!D230</f>
        <v>0</v>
      </c>
      <c r="AA99" t="s">
        <v>1022</v>
      </c>
      <c r="AB99">
        <f>IFERROR(AB96*(0.1226*AB98+0.0776*AB97+0.2534),0)</f>
        <v>0</v>
      </c>
    </row>
    <row r="102" spans="1:39" ht="15" thickBot="1">
      <c r="A102" s="1" t="s">
        <v>1023</v>
      </c>
    </row>
    <row r="103" spans="1:39">
      <c r="A103" s="1065" t="s">
        <v>178</v>
      </c>
      <c r="B103" s="16" t="s">
        <v>108</v>
      </c>
      <c r="C103" s="16" t="s">
        <v>516</v>
      </c>
      <c r="D103" s="17" t="s">
        <v>524</v>
      </c>
      <c r="G103" s="1065" t="s">
        <v>179</v>
      </c>
      <c r="H103" s="16" t="s">
        <v>108</v>
      </c>
      <c r="I103" s="16" t="s">
        <v>516</v>
      </c>
      <c r="J103" s="17" t="s">
        <v>524</v>
      </c>
      <c r="L103" s="1065" t="s">
        <v>180</v>
      </c>
      <c r="M103" s="16" t="s">
        <v>108</v>
      </c>
      <c r="N103" s="16" t="s">
        <v>516</v>
      </c>
      <c r="O103" s="17" t="s">
        <v>524</v>
      </c>
      <c r="Q103" s="1065" t="s">
        <v>182</v>
      </c>
      <c r="R103" s="16" t="s">
        <v>108</v>
      </c>
      <c r="S103" s="16" t="s">
        <v>516</v>
      </c>
      <c r="T103" s="17" t="s">
        <v>524</v>
      </c>
      <c r="W103" s="1065" t="s">
        <v>183</v>
      </c>
      <c r="X103" s="16" t="s">
        <v>108</v>
      </c>
      <c r="Y103" s="16" t="s">
        <v>516</v>
      </c>
      <c r="Z103" s="17" t="s">
        <v>524</v>
      </c>
      <c r="AC103" s="457"/>
      <c r="AI103" s="457"/>
    </row>
    <row r="104" spans="1:39">
      <c r="A104" s="20">
        <f>Loomakasvatus!C248</f>
        <v>0</v>
      </c>
      <c r="B104">
        <f>Loomakasvatus!D248/1000</f>
        <v>0</v>
      </c>
      <c r="C104" t="str">
        <f>IFERROR(VLOOKUP(A104,Ettev_kalk!$CK$55:$CL$82,2,FALSE),"0")</f>
        <v>0</v>
      </c>
      <c r="D104" s="21">
        <f>B104*C104</f>
        <v>0</v>
      </c>
      <c r="G104" s="20">
        <f>Loomakasvatus!C343</f>
        <v>0</v>
      </c>
      <c r="H104">
        <f>Loomakasvatus!D343/1000</f>
        <v>0</v>
      </c>
      <c r="I104" t="str">
        <f>IFERROR(VLOOKUP(G104,Ettev_kalk!$CK$55:$CL$82,2,FALSE),"0")</f>
        <v>0</v>
      </c>
      <c r="J104" s="21">
        <f>H104*I104</f>
        <v>0</v>
      </c>
      <c r="L104" s="20">
        <f>Loomakasvatus!C150</f>
        <v>0</v>
      </c>
      <c r="M104">
        <f>Loomakasvatus!D150/1000</f>
        <v>0</v>
      </c>
      <c r="N104" t="str">
        <f>IFERROR(VLOOKUP(L104,Ettev_kalk!$CK$55:$CL$82,2,FALSE),"0")</f>
        <v>0</v>
      </c>
      <c r="O104" s="21">
        <f>M104*N104</f>
        <v>0</v>
      </c>
      <c r="Q104" s="20">
        <f>Loomakasvatus!C520</f>
        <v>0</v>
      </c>
      <c r="R104">
        <f>Loomakasvatus!D520/1000</f>
        <v>0</v>
      </c>
      <c r="S104" t="str">
        <f>IFERROR(VLOOKUP(Q104,Ettev_kalk!$CK$55:$CL$82,2,FALSE),"0")</f>
        <v>0</v>
      </c>
      <c r="T104" s="21">
        <f>R104*S104</f>
        <v>0</v>
      </c>
      <c r="W104" s="20">
        <f>Loomakasvatus!C609</f>
        <v>0</v>
      </c>
      <c r="X104">
        <f>Loomakasvatus!D609/1000</f>
        <v>0</v>
      </c>
      <c r="Y104" t="str">
        <f>IFERROR(VLOOKUP(W104,Ettev_kalk!$CK$55:$CL$82,2,FALSE),"0")</f>
        <v>0</v>
      </c>
      <c r="Z104" s="21">
        <f>X104*Y104</f>
        <v>0</v>
      </c>
    </row>
    <row r="105" spans="1:39">
      <c r="A105" s="20">
        <f>Loomakasvatus!C249</f>
        <v>0</v>
      </c>
      <c r="B105">
        <f>Loomakasvatus!D249/1000</f>
        <v>0</v>
      </c>
      <c r="C105" t="str">
        <f>IFERROR(VLOOKUP(A105,Ettev_kalk!$CK$55:$CL$82,2,FALSE),"0")</f>
        <v>0</v>
      </c>
      <c r="D105" s="21">
        <f t="shared" ref="D105:D112" si="27">B105*C105</f>
        <v>0</v>
      </c>
      <c r="G105" s="20">
        <f>Loomakasvatus!C344</f>
        <v>0</v>
      </c>
      <c r="H105">
        <f>Loomakasvatus!D344/1000</f>
        <v>0</v>
      </c>
      <c r="I105" t="str">
        <f>IFERROR(VLOOKUP(G105,Ettev_kalk!$CK$55:$CL$82,2,FALSE),"0")</f>
        <v>0</v>
      </c>
      <c r="J105" s="21">
        <f t="shared" ref="J105:J113" si="28">H105*I105</f>
        <v>0</v>
      </c>
      <c r="L105" s="20">
        <f>Loomakasvatus!C151</f>
        <v>0</v>
      </c>
      <c r="M105">
        <f>Loomakasvatus!D151/1000</f>
        <v>0</v>
      </c>
      <c r="N105" t="str">
        <f>IFERROR(VLOOKUP(L105,Ettev_kalk!$CK$55:$CL$82,2,FALSE),"0")</f>
        <v>0</v>
      </c>
      <c r="O105" s="21">
        <f t="shared" ref="O105:O112" si="29">M105*N105</f>
        <v>0</v>
      </c>
      <c r="Q105" s="20">
        <f>Loomakasvatus!C521</f>
        <v>0</v>
      </c>
      <c r="R105">
        <f>Loomakasvatus!D521/1000</f>
        <v>0</v>
      </c>
      <c r="S105" t="str">
        <f>IFERROR(VLOOKUP(Q105,Ettev_kalk!$CK$55:$CL$82,2,FALSE),"0")</f>
        <v>0</v>
      </c>
      <c r="T105" s="21">
        <f t="shared" ref="T105:T113" si="30">R105*S105</f>
        <v>0</v>
      </c>
      <c r="W105" s="20">
        <f>Loomakasvatus!C610</f>
        <v>0</v>
      </c>
      <c r="X105">
        <f>Loomakasvatus!D610/1000</f>
        <v>0</v>
      </c>
      <c r="Y105" t="str">
        <f>IFERROR(VLOOKUP(W105,Ettev_kalk!$CK$55:$CL$82,2,FALSE),"0")</f>
        <v>0</v>
      </c>
      <c r="Z105" s="21">
        <f t="shared" ref="Z105:Z112" si="31">X105*Y105</f>
        <v>0</v>
      </c>
    </row>
    <row r="106" spans="1:39">
      <c r="A106" s="20">
        <f>Loomakasvatus!C250</f>
        <v>0</v>
      </c>
      <c r="B106">
        <f>Loomakasvatus!D250/1000</f>
        <v>0</v>
      </c>
      <c r="C106" t="str">
        <f>IFERROR(VLOOKUP(A106,Ettev_kalk!$CK$55:$CL$82,2,FALSE),"0")</f>
        <v>0</v>
      </c>
      <c r="D106" s="21">
        <f t="shared" si="27"/>
        <v>0</v>
      </c>
      <c r="G106" s="20">
        <f>Loomakasvatus!C345</f>
        <v>0</v>
      </c>
      <c r="H106">
        <f>Loomakasvatus!D345/1000</f>
        <v>0</v>
      </c>
      <c r="I106" t="str">
        <f>IFERROR(VLOOKUP(G106,Ettev_kalk!$CK$55:$CL$82,2,FALSE),"0")</f>
        <v>0</v>
      </c>
      <c r="J106" s="21">
        <f t="shared" si="28"/>
        <v>0</v>
      </c>
      <c r="L106" s="20">
        <f>Loomakasvatus!C152</f>
        <v>0</v>
      </c>
      <c r="M106">
        <f>Loomakasvatus!D152/1000</f>
        <v>0</v>
      </c>
      <c r="N106" t="str">
        <f>IFERROR(VLOOKUP(L106,Ettev_kalk!$CK$55:$CL$82,2,FALSE),"0")</f>
        <v>0</v>
      </c>
      <c r="O106" s="21">
        <f t="shared" si="29"/>
        <v>0</v>
      </c>
      <c r="Q106" s="20">
        <f>Loomakasvatus!C522</f>
        <v>0</v>
      </c>
      <c r="R106">
        <f>Loomakasvatus!D522/1000</f>
        <v>0</v>
      </c>
      <c r="S106" t="str">
        <f>IFERROR(VLOOKUP(Q106,Ettev_kalk!$CK$55:$CL$82,2,FALSE),"0")</f>
        <v>0</v>
      </c>
      <c r="T106" s="21">
        <f t="shared" si="30"/>
        <v>0</v>
      </c>
      <c r="W106" s="20">
        <f>Loomakasvatus!C611</f>
        <v>0</v>
      </c>
      <c r="X106">
        <f>Loomakasvatus!D611/1000</f>
        <v>0</v>
      </c>
      <c r="Y106" t="str">
        <f>IFERROR(VLOOKUP(W106,Ettev_kalk!$CK$55:$CL$82,2,FALSE),"0")</f>
        <v>0</v>
      </c>
      <c r="Z106" s="21">
        <f t="shared" si="31"/>
        <v>0</v>
      </c>
    </row>
    <row r="107" spans="1:39">
      <c r="A107" s="20">
        <f>Loomakasvatus!C251</f>
        <v>0</v>
      </c>
      <c r="B107">
        <f>Loomakasvatus!D251/1000</f>
        <v>0</v>
      </c>
      <c r="C107" t="str">
        <f>IFERROR(VLOOKUP(A107,Ettev_kalk!$CK$55:$CL$82,2,FALSE),"0")</f>
        <v>0</v>
      </c>
      <c r="D107" s="21">
        <f t="shared" si="27"/>
        <v>0</v>
      </c>
      <c r="G107" s="20">
        <f>Loomakasvatus!C346</f>
        <v>0</v>
      </c>
      <c r="H107">
        <f>Loomakasvatus!D346/1000</f>
        <v>0</v>
      </c>
      <c r="I107" t="str">
        <f>IFERROR(VLOOKUP(G107,Ettev_kalk!$CK$55:$CL$82,2,FALSE),"0")</f>
        <v>0</v>
      </c>
      <c r="J107" s="21">
        <f t="shared" si="28"/>
        <v>0</v>
      </c>
      <c r="L107" s="20">
        <f>Loomakasvatus!C153</f>
        <v>0</v>
      </c>
      <c r="M107">
        <f>Loomakasvatus!D153/1000</f>
        <v>0</v>
      </c>
      <c r="N107" t="str">
        <f>IFERROR(VLOOKUP(L107,Ettev_kalk!$CK$55:$CL$82,2,FALSE),"0")</f>
        <v>0</v>
      </c>
      <c r="O107" s="21">
        <f t="shared" si="29"/>
        <v>0</v>
      </c>
      <c r="Q107" s="20">
        <f>Loomakasvatus!C523</f>
        <v>0</v>
      </c>
      <c r="R107">
        <f>Loomakasvatus!D523/1000</f>
        <v>0</v>
      </c>
      <c r="S107" t="str">
        <f>IFERROR(VLOOKUP(Q107,Ettev_kalk!$CK$55:$CL$82,2,FALSE),"0")</f>
        <v>0</v>
      </c>
      <c r="T107" s="21">
        <f t="shared" si="30"/>
        <v>0</v>
      </c>
      <c r="W107" s="20">
        <f>Loomakasvatus!C612</f>
        <v>0</v>
      </c>
      <c r="X107">
        <f>Loomakasvatus!D612/1000</f>
        <v>0</v>
      </c>
      <c r="Y107" t="str">
        <f>IFERROR(VLOOKUP(W107,Ettev_kalk!$CK$55:$CL$82,2,FALSE),"0")</f>
        <v>0</v>
      </c>
      <c r="Z107" s="21">
        <f t="shared" si="31"/>
        <v>0</v>
      </c>
    </row>
    <row r="108" spans="1:39">
      <c r="A108" s="20">
        <f>Loomakasvatus!C252</f>
        <v>0</v>
      </c>
      <c r="B108">
        <f>Loomakasvatus!D252/1000</f>
        <v>0</v>
      </c>
      <c r="C108" t="str">
        <f>IFERROR(VLOOKUP(A108,Ettev_kalk!$CK$55:$CL$82,2,FALSE),"0")</f>
        <v>0</v>
      </c>
      <c r="D108" s="21">
        <f t="shared" si="27"/>
        <v>0</v>
      </c>
      <c r="G108" s="20">
        <f>Loomakasvatus!C347</f>
        <v>0</v>
      </c>
      <c r="H108">
        <f>Loomakasvatus!D347/1000</f>
        <v>0</v>
      </c>
      <c r="I108" t="str">
        <f>IFERROR(VLOOKUP(G108,Ettev_kalk!$CK$55:$CL$82,2,FALSE),"0")</f>
        <v>0</v>
      </c>
      <c r="J108" s="21">
        <f t="shared" si="28"/>
        <v>0</v>
      </c>
      <c r="L108" s="20">
        <f>Loomakasvatus!C154</f>
        <v>0</v>
      </c>
      <c r="M108">
        <f>Loomakasvatus!D154/1000</f>
        <v>0</v>
      </c>
      <c r="N108" t="str">
        <f>IFERROR(VLOOKUP(L108,Ettev_kalk!$CK$55:$CL$82,2,FALSE),"0")</f>
        <v>0</v>
      </c>
      <c r="O108" s="21">
        <f t="shared" si="29"/>
        <v>0</v>
      </c>
      <c r="Q108" s="20">
        <f>Loomakasvatus!C524</f>
        <v>0</v>
      </c>
      <c r="R108">
        <f>Loomakasvatus!D524/1000</f>
        <v>0</v>
      </c>
      <c r="S108" t="str">
        <f>IFERROR(VLOOKUP(Q108,Ettev_kalk!$CK$55:$CL$82,2,FALSE),"0")</f>
        <v>0</v>
      </c>
      <c r="T108" s="21">
        <f t="shared" si="30"/>
        <v>0</v>
      </c>
      <c r="W108" s="20">
        <f>Loomakasvatus!C613</f>
        <v>0</v>
      </c>
      <c r="X108">
        <f>Loomakasvatus!D613/1000</f>
        <v>0</v>
      </c>
      <c r="Y108" t="str">
        <f>IFERROR(VLOOKUP(W108,Ettev_kalk!$CK$55:$CL$82,2,FALSE),"0")</f>
        <v>0</v>
      </c>
      <c r="Z108" s="21">
        <f t="shared" si="31"/>
        <v>0</v>
      </c>
    </row>
    <row r="109" spans="1:39">
      <c r="A109" s="20">
        <f>Loomakasvatus!C253</f>
        <v>0</v>
      </c>
      <c r="B109">
        <f>Loomakasvatus!D253/1000</f>
        <v>0</v>
      </c>
      <c r="C109" t="str">
        <f>IFERROR(VLOOKUP(A109,Ettev_kalk!$CK$55:$CL$82,2,FALSE),"0")</f>
        <v>0</v>
      </c>
      <c r="D109" s="21">
        <f t="shared" si="27"/>
        <v>0</v>
      </c>
      <c r="G109" s="20">
        <f>Loomakasvatus!C348</f>
        <v>0</v>
      </c>
      <c r="H109">
        <f>Loomakasvatus!D348/1000</f>
        <v>0</v>
      </c>
      <c r="I109" t="str">
        <f>IFERROR(VLOOKUP(G109,Ettev_kalk!$CK$55:$CL$82,2,FALSE),"0")</f>
        <v>0</v>
      </c>
      <c r="J109" s="21">
        <f t="shared" si="28"/>
        <v>0</v>
      </c>
      <c r="L109" s="20">
        <f>Loomakasvatus!C155</f>
        <v>0</v>
      </c>
      <c r="M109">
        <f>Loomakasvatus!D155/1000</f>
        <v>0</v>
      </c>
      <c r="N109" t="str">
        <f>IFERROR(VLOOKUP(L109,Ettev_kalk!$CK$55:$CL$82,2,FALSE),"0")</f>
        <v>0</v>
      </c>
      <c r="O109" s="21">
        <f t="shared" si="29"/>
        <v>0</v>
      </c>
      <c r="Q109" s="20">
        <f>Loomakasvatus!C525</f>
        <v>0</v>
      </c>
      <c r="R109">
        <f>Loomakasvatus!D525/1000</f>
        <v>0</v>
      </c>
      <c r="S109" t="str">
        <f>IFERROR(VLOOKUP(Q109,Ettev_kalk!$CK$55:$CL$82,2,FALSE),"0")</f>
        <v>0</v>
      </c>
      <c r="T109" s="21">
        <f t="shared" si="30"/>
        <v>0</v>
      </c>
      <c r="W109" s="20">
        <f>Loomakasvatus!C614</f>
        <v>0</v>
      </c>
      <c r="X109">
        <f>Loomakasvatus!D614/1000</f>
        <v>0</v>
      </c>
      <c r="Y109" t="str">
        <f>IFERROR(VLOOKUP(W109,Ettev_kalk!$CK$55:$CL$82,2,FALSE),"0")</f>
        <v>0</v>
      </c>
      <c r="Z109" s="21">
        <f t="shared" si="31"/>
        <v>0</v>
      </c>
    </row>
    <row r="110" spans="1:39">
      <c r="A110" s="20">
        <f>Loomakasvatus!C254</f>
        <v>0</v>
      </c>
      <c r="B110">
        <f>Loomakasvatus!D254/1000</f>
        <v>0</v>
      </c>
      <c r="C110" t="str">
        <f>IFERROR(VLOOKUP(A110,Ettev_kalk!$CK$55:$CL$82,2,FALSE),"0")</f>
        <v>0</v>
      </c>
      <c r="D110" s="21">
        <f t="shared" si="27"/>
        <v>0</v>
      </c>
      <c r="G110" s="20">
        <f>Loomakasvatus!C349</f>
        <v>0</v>
      </c>
      <c r="H110">
        <f>Loomakasvatus!D349/1000</f>
        <v>0</v>
      </c>
      <c r="I110" t="str">
        <f>IFERROR(VLOOKUP(G110,Ettev_kalk!$CK$55:$CL$82,2,FALSE),"0")</f>
        <v>0</v>
      </c>
      <c r="J110" s="21">
        <f t="shared" si="28"/>
        <v>0</v>
      </c>
      <c r="L110" s="20">
        <f>Loomakasvatus!C156</f>
        <v>0</v>
      </c>
      <c r="M110">
        <f>Loomakasvatus!D156/1000</f>
        <v>0</v>
      </c>
      <c r="N110" t="str">
        <f>IFERROR(VLOOKUP(L110,Ettev_kalk!$CK$55:$CL$82,2,FALSE),"0")</f>
        <v>0</v>
      </c>
      <c r="O110" s="21">
        <f t="shared" si="29"/>
        <v>0</v>
      </c>
      <c r="Q110" s="20">
        <f>Loomakasvatus!C526</f>
        <v>0</v>
      </c>
      <c r="R110">
        <f>Loomakasvatus!D526/1000</f>
        <v>0</v>
      </c>
      <c r="S110" t="str">
        <f>IFERROR(VLOOKUP(Q110,Ettev_kalk!$CK$55:$CL$82,2,FALSE),"0")</f>
        <v>0</v>
      </c>
      <c r="T110" s="21">
        <f t="shared" si="30"/>
        <v>0</v>
      </c>
      <c r="W110" s="20">
        <f>Loomakasvatus!C615</f>
        <v>0</v>
      </c>
      <c r="X110">
        <f>Loomakasvatus!D615/1000</f>
        <v>0</v>
      </c>
      <c r="Y110" t="str">
        <f>IFERROR(VLOOKUP(W110,Ettev_kalk!$CK$55:$CL$82,2,FALSE),"0")</f>
        <v>0</v>
      </c>
      <c r="Z110" s="21">
        <f t="shared" si="31"/>
        <v>0</v>
      </c>
    </row>
    <row r="111" spans="1:39">
      <c r="A111" s="20">
        <f>Loomakasvatus!C255</f>
        <v>0</v>
      </c>
      <c r="B111">
        <f>Loomakasvatus!D255/1000</f>
        <v>0</v>
      </c>
      <c r="C111" t="str">
        <f>IFERROR(VLOOKUP(A111,Ettev_kalk!$CK$55:$CL$82,2,FALSE),"0")</f>
        <v>0</v>
      </c>
      <c r="D111" s="21">
        <f t="shared" si="27"/>
        <v>0</v>
      </c>
      <c r="G111" s="20">
        <f>Loomakasvatus!C350</f>
        <v>0</v>
      </c>
      <c r="H111">
        <f>Loomakasvatus!D350/1000</f>
        <v>0</v>
      </c>
      <c r="I111" t="str">
        <f>IFERROR(VLOOKUP(G111,Ettev_kalk!$CK$55:$CL$82,2,FALSE),"0")</f>
        <v>0</v>
      </c>
      <c r="J111" s="21">
        <f t="shared" si="28"/>
        <v>0</v>
      </c>
      <c r="L111" s="20">
        <f>Loomakasvatus!C157</f>
        <v>0</v>
      </c>
      <c r="M111">
        <f>Loomakasvatus!D157/1000</f>
        <v>0</v>
      </c>
      <c r="N111" t="str">
        <f>IFERROR(VLOOKUP(L111,Ettev_kalk!$CK$55:$CL$82,2,FALSE),"0")</f>
        <v>0</v>
      </c>
      <c r="O111" s="21">
        <f t="shared" si="29"/>
        <v>0</v>
      </c>
      <c r="Q111" s="20">
        <f>Loomakasvatus!C527</f>
        <v>0</v>
      </c>
      <c r="R111">
        <f>Loomakasvatus!D527/1000</f>
        <v>0</v>
      </c>
      <c r="S111" t="str">
        <f>IFERROR(VLOOKUP(Q111,Ettev_kalk!$CK$55:$CL$82,2,FALSE),"0")</f>
        <v>0</v>
      </c>
      <c r="T111" s="21">
        <f t="shared" si="30"/>
        <v>0</v>
      </c>
      <c r="W111" s="20">
        <f>Loomakasvatus!C616</f>
        <v>0</v>
      </c>
      <c r="X111">
        <f>Loomakasvatus!D616/1000</f>
        <v>0</v>
      </c>
      <c r="Y111" t="str">
        <f>IFERROR(VLOOKUP(W111,Ettev_kalk!$CK$55:$CL$82,2,FALSE),"0")</f>
        <v>0</v>
      </c>
      <c r="Z111" s="21">
        <f t="shared" si="31"/>
        <v>0</v>
      </c>
    </row>
    <row r="112" spans="1:39">
      <c r="A112" s="20">
        <f>Loomakasvatus!C256</f>
        <v>0</v>
      </c>
      <c r="B112">
        <f>Loomakasvatus!D256/1000</f>
        <v>0</v>
      </c>
      <c r="C112" t="str">
        <f>IFERROR(VLOOKUP(A112,Ettev_kalk!$CK$55:$CL$82,2,FALSE),"0")</f>
        <v>0</v>
      </c>
      <c r="D112" s="21">
        <f t="shared" si="27"/>
        <v>0</v>
      </c>
      <c r="G112" s="20">
        <f>Loomakasvatus!C351</f>
        <v>0</v>
      </c>
      <c r="H112">
        <f>Loomakasvatus!D351/1000</f>
        <v>0</v>
      </c>
      <c r="I112" t="str">
        <f>IFERROR(VLOOKUP(G112,Ettev_kalk!$CK$55:$CL$82,2,FALSE),"0")</f>
        <v>0</v>
      </c>
      <c r="J112" s="21">
        <f t="shared" si="28"/>
        <v>0</v>
      </c>
      <c r="L112" s="20">
        <f>Loomakasvatus!C158</f>
        <v>0</v>
      </c>
      <c r="M112">
        <f>Loomakasvatus!D158/1000</f>
        <v>0</v>
      </c>
      <c r="N112" t="str">
        <f>IFERROR(VLOOKUP(L112,Ettev_kalk!$CK$55:$CL$82,2,FALSE),"0")</f>
        <v>0</v>
      </c>
      <c r="O112" s="21">
        <f t="shared" si="29"/>
        <v>0</v>
      </c>
      <c r="Q112" s="20">
        <f>Loomakasvatus!C528</f>
        <v>0</v>
      </c>
      <c r="R112">
        <f>Loomakasvatus!D528/1000</f>
        <v>0</v>
      </c>
      <c r="S112" t="str">
        <f>IFERROR(VLOOKUP(Q112,Ettev_kalk!$CK$55:$CL$82,2,FALSE),"0")</f>
        <v>0</v>
      </c>
      <c r="T112" s="21">
        <f t="shared" si="30"/>
        <v>0</v>
      </c>
      <c r="W112" s="20">
        <f>Loomakasvatus!C617</f>
        <v>0</v>
      </c>
      <c r="X112">
        <f>Loomakasvatus!D617/1000</f>
        <v>0</v>
      </c>
      <c r="Y112" t="str">
        <f>IFERROR(VLOOKUP(W112,Ettev_kalk!$CK$55:$CL$82,2,FALSE),"0")</f>
        <v>0</v>
      </c>
      <c r="Z112" s="21">
        <f t="shared" si="31"/>
        <v>0</v>
      </c>
    </row>
    <row r="113" spans="1:26">
      <c r="A113" s="20"/>
      <c r="D113" s="21"/>
      <c r="G113" s="20">
        <f>Loomakasvatus!C352</f>
        <v>0</v>
      </c>
      <c r="H113">
        <f>Loomakasvatus!D352/1000</f>
        <v>0</v>
      </c>
      <c r="I113" t="str">
        <f>IFERROR(VLOOKUP(G113,Ettev_kalk!$CK$55:$CL$82,2,FALSE),"0")</f>
        <v>0</v>
      </c>
      <c r="J113" s="21">
        <f t="shared" si="28"/>
        <v>0</v>
      </c>
      <c r="L113" s="20"/>
      <c r="O113" s="21"/>
      <c r="Q113" s="20">
        <f>Loomakasvatus!C529</f>
        <v>0</v>
      </c>
      <c r="R113">
        <f>Loomakasvatus!D529/1000</f>
        <v>0</v>
      </c>
      <c r="S113" t="str">
        <f>IFERROR(VLOOKUP(Q113,Ettev_kalk!$CK$55:$CL$82,2,FALSE),"0")</f>
        <v>0</v>
      </c>
      <c r="T113" s="21">
        <f t="shared" si="30"/>
        <v>0</v>
      </c>
      <c r="W113" s="20"/>
      <c r="Z113" s="21"/>
    </row>
    <row r="114" spans="1:26">
      <c r="A114" s="20"/>
      <c r="D114" s="21"/>
      <c r="G114" s="20"/>
      <c r="J114" s="21"/>
      <c r="L114" s="20"/>
      <c r="O114" s="21"/>
      <c r="Q114" s="20"/>
      <c r="T114" s="21"/>
      <c r="W114" s="20"/>
      <c r="Z114" s="21"/>
    </row>
    <row r="115" spans="1:26" ht="15" thickBot="1">
      <c r="A115" s="58"/>
      <c r="B115" s="36"/>
      <c r="C115" s="36"/>
      <c r="D115" s="37">
        <f>SUM(D104:D112)</f>
        <v>0</v>
      </c>
      <c r="G115" s="58"/>
      <c r="H115" s="36"/>
      <c r="I115" s="36"/>
      <c r="J115" s="37">
        <f>SUM(J104:J113)</f>
        <v>0</v>
      </c>
      <c r="L115" s="58"/>
      <c r="M115" s="36"/>
      <c r="N115" s="36"/>
      <c r="O115" s="37">
        <f>SUM(O104:O112)</f>
        <v>0</v>
      </c>
      <c r="Q115" s="58"/>
      <c r="R115" s="36"/>
      <c r="S115" s="36"/>
      <c r="T115" s="37">
        <f>SUM(T104:T113)</f>
        <v>0</v>
      </c>
      <c r="W115" s="58"/>
      <c r="X115" s="36"/>
      <c r="Y115" s="36"/>
      <c r="Z115" s="37">
        <f>SUM(Z104:Z112)</f>
        <v>0</v>
      </c>
    </row>
    <row r="116" spans="1:26" ht="15" thickBot="1"/>
    <row r="117" spans="1:26">
      <c r="A117" s="90" t="s">
        <v>806</v>
      </c>
      <c r="B117" s="17"/>
    </row>
    <row r="118" spans="1:26">
      <c r="A118" s="80" t="s">
        <v>919</v>
      </c>
      <c r="B118" s="21"/>
    </row>
    <row r="119" spans="1:26">
      <c r="A119" s="20" t="s">
        <v>807</v>
      </c>
      <c r="B119" s="21">
        <f>Ettev_kalk!E472*Ettev_kalk!E457*Ettev_kalk!E458*'M1 - TK'!B14*(44/28)</f>
        <v>0</v>
      </c>
    </row>
    <row r="120" spans="1:26">
      <c r="A120" s="20" t="s">
        <v>808</v>
      </c>
      <c r="B120" s="21">
        <f>Ettev_kalk!E472*Ettev_kalk!E439*Ettev_kalk!E457*'M1 - TK'!B25*'M1 - TK'!B20*(44/28)</f>
        <v>0</v>
      </c>
    </row>
    <row r="121" spans="1:26">
      <c r="A121" s="20" t="s">
        <v>810</v>
      </c>
      <c r="B121" s="21">
        <f>Ettev_kalk!E472*Ettev_kalk!E439*Ettev_kalk!E457*'M1 - TK'!B27*'M1 - TK'!B21*(44/28)</f>
        <v>0</v>
      </c>
    </row>
    <row r="122" spans="1:26">
      <c r="A122" s="20" t="s">
        <v>812</v>
      </c>
      <c r="B122" s="21">
        <f>SUM(B119:B121)</f>
        <v>0</v>
      </c>
    </row>
    <row r="123" spans="1:26">
      <c r="A123" s="20"/>
      <c r="B123" s="21"/>
    </row>
    <row r="124" spans="1:26" ht="15" thickBot="1">
      <c r="A124" s="80" t="s">
        <v>183</v>
      </c>
      <c r="B124" s="21"/>
      <c r="L124" s="1" t="s">
        <v>1024</v>
      </c>
    </row>
    <row r="125" spans="1:26">
      <c r="A125" s="20" t="s">
        <v>807</v>
      </c>
      <c r="B125" s="21">
        <f>Ettev_kalk!E509*Ettev_kalk!E476*Ettev_kalk!E494*'M1 - TK'!B14*(44/28)</f>
        <v>0</v>
      </c>
      <c r="L125" s="15" t="str">
        <f>'C-taust'!C206</f>
        <v>Kultuur</v>
      </c>
      <c r="M125" s="16" t="str">
        <f>'C-taust'!Q206</f>
        <v>Summaarne sidumine kultuuriga (t CO2)</v>
      </c>
      <c r="N125" s="16" t="str">
        <f>'C-taust'!R206</f>
        <v>Keskmine sidumine kultuuriga (t CO2 / ha )</v>
      </c>
      <c r="O125" s="17" t="s">
        <v>940</v>
      </c>
    </row>
    <row r="126" spans="1:26">
      <c r="A126" s="20" t="s">
        <v>808</v>
      </c>
      <c r="B126" s="21">
        <f>Ettev_kalk!E509*Ettev_kalk!E476*Ettev_kalk!E494*'M1 - TK'!B25*'M1 - TK'!B20*(44/28)</f>
        <v>0</v>
      </c>
      <c r="L126" s="20" t="str">
        <f>'C-taust'!C207</f>
        <v>Talinisu</v>
      </c>
      <c r="M126">
        <f>'C-taust'!Q207</f>
        <v>0</v>
      </c>
      <c r="N126">
        <f>'C-taust'!R207</f>
        <v>0</v>
      </c>
      <c r="O126" s="21">
        <f>B4</f>
        <v>0</v>
      </c>
    </row>
    <row r="127" spans="1:26">
      <c r="A127" s="20" t="s">
        <v>810</v>
      </c>
      <c r="B127" s="21">
        <f>Ettev_kalk!E509*Ettev_kalk!E476*Ettev_kalk!E494*'M1 - TK'!B27*'M1 - TK'!B21*(44/28)</f>
        <v>0</v>
      </c>
      <c r="L127" s="20">
        <f>'C-taust'!C208</f>
        <v>0</v>
      </c>
      <c r="M127">
        <f>'C-taust'!Q208</f>
        <v>0</v>
      </c>
      <c r="N127">
        <f>'C-taust'!R208</f>
        <v>0</v>
      </c>
      <c r="O127" s="21">
        <f>C4</f>
        <v>0</v>
      </c>
    </row>
    <row r="128" spans="1:26">
      <c r="A128" s="20" t="s">
        <v>812</v>
      </c>
      <c r="B128" s="21">
        <f>SUM(B125:B127)</f>
        <v>0</v>
      </c>
      <c r="L128" s="20">
        <f>'C-taust'!C209</f>
        <v>0</v>
      </c>
      <c r="M128">
        <f>'C-taust'!Q209</f>
        <v>0</v>
      </c>
      <c r="N128">
        <f>'C-taust'!R209</f>
        <v>0</v>
      </c>
      <c r="O128" s="21">
        <f>D4</f>
        <v>0</v>
      </c>
    </row>
    <row r="129" spans="1:15">
      <c r="A129" s="20"/>
      <c r="B129" s="21"/>
      <c r="L129" s="20">
        <f>'C-taust'!C210</f>
        <v>0</v>
      </c>
      <c r="M129">
        <f>'C-taust'!Q210</f>
        <v>0</v>
      </c>
      <c r="N129">
        <f>'C-taust'!R210</f>
        <v>0</v>
      </c>
      <c r="O129" s="21">
        <f>E4</f>
        <v>0</v>
      </c>
    </row>
    <row r="130" spans="1:15">
      <c r="A130" s="80" t="s">
        <v>181</v>
      </c>
      <c r="B130" s="21"/>
      <c r="L130" s="20">
        <f>'C-taust'!C211</f>
        <v>0</v>
      </c>
      <c r="M130">
        <f>'C-taust'!Q211</f>
        <v>0</v>
      </c>
      <c r="N130">
        <f>'C-taust'!R211</f>
        <v>0</v>
      </c>
      <c r="O130" s="21">
        <f>F4</f>
        <v>0</v>
      </c>
    </row>
    <row r="131" spans="1:15">
      <c r="A131" s="20" t="s">
        <v>807</v>
      </c>
      <c r="B131" s="21">
        <f>SUM(A292,M292,Z292)</f>
        <v>0</v>
      </c>
      <c r="L131" s="20">
        <f>'C-taust'!C212</f>
        <v>0</v>
      </c>
      <c r="M131">
        <f>'C-taust'!Q212</f>
        <v>0</v>
      </c>
      <c r="N131">
        <f>'C-taust'!R212</f>
        <v>0</v>
      </c>
      <c r="O131" s="21">
        <f>G4</f>
        <v>0</v>
      </c>
    </row>
    <row r="132" spans="1:15">
      <c r="A132" s="20" t="s">
        <v>808</v>
      </c>
      <c r="B132" s="21">
        <f>SUM(A293,M293,Z293)</f>
        <v>0</v>
      </c>
      <c r="L132" s="20">
        <f>'C-taust'!C213</f>
        <v>0</v>
      </c>
      <c r="M132">
        <f>'C-taust'!Q213</f>
        <v>0</v>
      </c>
      <c r="N132">
        <f>'C-taust'!R213</f>
        <v>0</v>
      </c>
      <c r="O132" s="21">
        <f>H4</f>
        <v>0</v>
      </c>
    </row>
    <row r="133" spans="1:15">
      <c r="A133" s="20" t="s">
        <v>810</v>
      </c>
      <c r="B133" s="21">
        <f>SUM(A294,M294,Z294)</f>
        <v>0</v>
      </c>
      <c r="L133" s="20">
        <f>'C-taust'!C214</f>
        <v>0</v>
      </c>
      <c r="M133">
        <f>'C-taust'!Q214</f>
        <v>0</v>
      </c>
      <c r="N133">
        <f>'C-taust'!R214</f>
        <v>0</v>
      </c>
      <c r="O133" s="21">
        <f>I4</f>
        <v>0</v>
      </c>
    </row>
    <row r="134" spans="1:15">
      <c r="A134" s="20" t="s">
        <v>812</v>
      </c>
      <c r="B134" s="21">
        <f>SUM(B131:B133)</f>
        <v>0</v>
      </c>
      <c r="L134" s="20">
        <f>'C-taust'!C215</f>
        <v>0</v>
      </c>
      <c r="M134">
        <f>'C-taust'!Q215</f>
        <v>0</v>
      </c>
      <c r="N134">
        <f>'C-taust'!R215</f>
        <v>0</v>
      </c>
      <c r="O134" s="21">
        <f>J4</f>
        <v>0</v>
      </c>
    </row>
    <row r="135" spans="1:15">
      <c r="A135" s="20"/>
      <c r="B135" s="21"/>
      <c r="L135" s="20">
        <f>'C-taust'!C216</f>
        <v>0</v>
      </c>
      <c r="M135">
        <f>'C-taust'!Q216</f>
        <v>0</v>
      </c>
      <c r="N135">
        <f>'C-taust'!R216</f>
        <v>0</v>
      </c>
      <c r="O135" s="21">
        <f>K4</f>
        <v>0</v>
      </c>
    </row>
    <row r="136" spans="1:15">
      <c r="A136" s="80" t="s">
        <v>185</v>
      </c>
      <c r="B136" s="21"/>
      <c r="L136" s="20">
        <f>'C-taust'!C217</f>
        <v>0</v>
      </c>
      <c r="M136">
        <f>'C-taust'!Q217</f>
        <v>0</v>
      </c>
      <c r="N136">
        <f>'C-taust'!R217</f>
        <v>0</v>
      </c>
      <c r="O136" s="21">
        <f>L4</f>
        <v>0</v>
      </c>
    </row>
    <row r="137" spans="1:15">
      <c r="A137" s="20" t="s">
        <v>807</v>
      </c>
      <c r="B137" s="21"/>
      <c r="L137" s="20">
        <f>'C-taust'!C218</f>
        <v>0</v>
      </c>
      <c r="M137">
        <f>'C-taust'!Q218</f>
        <v>0</v>
      </c>
      <c r="N137">
        <f>'C-taust'!R218</f>
        <v>0</v>
      </c>
      <c r="O137" s="21">
        <f>M4</f>
        <v>0</v>
      </c>
    </row>
    <row r="138" spans="1:15">
      <c r="A138" s="20" t="s">
        <v>808</v>
      </c>
      <c r="B138" s="21"/>
      <c r="L138" s="20">
        <f>'C-taust'!C219</f>
        <v>0</v>
      </c>
      <c r="M138">
        <f>'C-taust'!Q219</f>
        <v>0</v>
      </c>
      <c r="N138">
        <f>'C-taust'!R219</f>
        <v>0</v>
      </c>
      <c r="O138" s="21">
        <f>N4</f>
        <v>0</v>
      </c>
    </row>
    <row r="139" spans="1:15">
      <c r="A139" s="20" t="s">
        <v>810</v>
      </c>
      <c r="B139" s="21"/>
      <c r="L139" s="20">
        <f>'C-taust'!C220</f>
        <v>0</v>
      </c>
      <c r="M139">
        <f>'C-taust'!Q220</f>
        <v>0</v>
      </c>
      <c r="N139">
        <f>'C-taust'!R220</f>
        <v>0</v>
      </c>
      <c r="O139" s="21">
        <f>O4</f>
        <v>0</v>
      </c>
    </row>
    <row r="140" spans="1:15">
      <c r="A140" s="20" t="s">
        <v>812</v>
      </c>
      <c r="B140" s="21">
        <f>SUM(R196,AQ196,BP196)</f>
        <v>0</v>
      </c>
      <c r="L140" s="20">
        <f>'C-taust'!C221</f>
        <v>0</v>
      </c>
      <c r="M140">
        <f>'C-taust'!Q221</f>
        <v>0</v>
      </c>
      <c r="N140">
        <f>'C-taust'!R221</f>
        <v>0</v>
      </c>
      <c r="O140" s="21">
        <f>P4</f>
        <v>0</v>
      </c>
    </row>
    <row r="141" spans="1:15">
      <c r="A141" s="20"/>
      <c r="B141" s="21"/>
      <c r="L141" s="20">
        <f>'C-taust'!C222</f>
        <v>0</v>
      </c>
      <c r="M141">
        <f>'C-taust'!Q222</f>
        <v>0</v>
      </c>
      <c r="N141">
        <f>'C-taust'!R222</f>
        <v>0</v>
      </c>
      <c r="O141" s="21">
        <f>Q4</f>
        <v>0</v>
      </c>
    </row>
    <row r="142" spans="1:15">
      <c r="A142" s="80" t="s">
        <v>178</v>
      </c>
      <c r="B142" s="21"/>
      <c r="L142" s="20">
        <f>'C-taust'!C223</f>
        <v>0</v>
      </c>
      <c r="M142">
        <f>'C-taust'!Q223</f>
        <v>0</v>
      </c>
      <c r="N142">
        <f>'C-taust'!R223</f>
        <v>0</v>
      </c>
      <c r="O142" s="21">
        <f>R4</f>
        <v>0</v>
      </c>
    </row>
    <row r="143" spans="1:15">
      <c r="A143" s="20" t="s">
        <v>807</v>
      </c>
      <c r="B143" s="21"/>
      <c r="L143" s="20">
        <f>'C-taust'!C224</f>
        <v>0</v>
      </c>
      <c r="M143">
        <f>'C-taust'!Q224</f>
        <v>0</v>
      </c>
      <c r="N143">
        <f>'C-taust'!R224</f>
        <v>0</v>
      </c>
      <c r="O143" s="21">
        <f>S4</f>
        <v>0</v>
      </c>
    </row>
    <row r="144" spans="1:15">
      <c r="A144" s="20" t="s">
        <v>808</v>
      </c>
      <c r="B144" s="21"/>
      <c r="L144" s="20">
        <f>'C-taust'!C225</f>
        <v>0</v>
      </c>
      <c r="M144">
        <f>'C-taust'!Q225</f>
        <v>0</v>
      </c>
      <c r="N144">
        <f>'C-taust'!R225</f>
        <v>0</v>
      </c>
      <c r="O144" s="21">
        <f>T4</f>
        <v>0</v>
      </c>
    </row>
    <row r="145" spans="1:15">
      <c r="A145" s="20" t="s">
        <v>810</v>
      </c>
      <c r="B145" s="21"/>
      <c r="L145" s="20">
        <f>'C-taust'!C226</f>
        <v>0</v>
      </c>
      <c r="M145">
        <f>'C-taust'!Q226</f>
        <v>0</v>
      </c>
      <c r="N145">
        <f>'C-taust'!R226</f>
        <v>0</v>
      </c>
      <c r="O145" s="21">
        <f>U4</f>
        <v>0</v>
      </c>
    </row>
    <row r="146" spans="1:15">
      <c r="A146" s="20" t="s">
        <v>812</v>
      </c>
      <c r="B146" s="21">
        <f>SUM(Ettev_kalk!K161:L161)</f>
        <v>0</v>
      </c>
      <c r="L146" s="20">
        <f>'C-taust'!C227</f>
        <v>0</v>
      </c>
      <c r="M146">
        <f>'C-taust'!Q227</f>
        <v>0</v>
      </c>
      <c r="N146">
        <f>'C-taust'!R227</f>
        <v>0</v>
      </c>
      <c r="O146" s="21">
        <f>X4</f>
        <v>0</v>
      </c>
    </row>
    <row r="147" spans="1:15">
      <c r="A147" s="20"/>
      <c r="B147" s="21"/>
      <c r="L147" s="20">
        <f>'C-taust'!C228</f>
        <v>0</v>
      </c>
      <c r="M147">
        <f>'C-taust'!Q228</f>
        <v>0</v>
      </c>
      <c r="N147">
        <f>'C-taust'!R228</f>
        <v>0</v>
      </c>
      <c r="O147" s="21">
        <f>Y4</f>
        <v>0</v>
      </c>
    </row>
    <row r="148" spans="1:15">
      <c r="A148" s="80" t="s">
        <v>179</v>
      </c>
      <c r="B148" s="21"/>
      <c r="L148" s="20">
        <f>'C-taust'!C229</f>
        <v>0</v>
      </c>
      <c r="M148">
        <f>'C-taust'!Q229</f>
        <v>0</v>
      </c>
      <c r="N148">
        <f>'C-taust'!R229</f>
        <v>0</v>
      </c>
      <c r="O148" s="21">
        <f>Z4</f>
        <v>0</v>
      </c>
    </row>
    <row r="149" spans="1:15">
      <c r="A149" s="20" t="s">
        <v>807</v>
      </c>
      <c r="B149" s="21" cm="1">
        <f t="array" ref="B149:B152">Ettev_kalk!H183:H186</f>
        <v>0</v>
      </c>
      <c r="L149" s="20">
        <f>'C-taust'!C230</f>
        <v>0</v>
      </c>
      <c r="M149">
        <f>'C-taust'!Q230</f>
        <v>0</v>
      </c>
      <c r="N149">
        <f>'C-taust'!R230</f>
        <v>0</v>
      </c>
      <c r="O149" s="21">
        <f>AA4</f>
        <v>0</v>
      </c>
    </row>
    <row r="150" spans="1:15">
      <c r="A150" s="20" t="s">
        <v>808</v>
      </c>
      <c r="B150" s="21">
        <v>0</v>
      </c>
      <c r="L150" s="20">
        <f>'C-taust'!C231</f>
        <v>0</v>
      </c>
      <c r="M150">
        <f>'C-taust'!Q231</f>
        <v>0</v>
      </c>
      <c r="N150">
        <f>'C-taust'!R231</f>
        <v>0</v>
      </c>
      <c r="O150" s="21">
        <f>AB4</f>
        <v>0</v>
      </c>
    </row>
    <row r="151" spans="1:15">
      <c r="A151" s="20" t="s">
        <v>810</v>
      </c>
      <c r="B151" s="21">
        <v>0</v>
      </c>
      <c r="L151" s="20">
        <f>'C-taust'!C232</f>
        <v>0</v>
      </c>
      <c r="M151">
        <f>'C-taust'!Q232</f>
        <v>0</v>
      </c>
      <c r="N151">
        <f>'C-taust'!R232</f>
        <v>0</v>
      </c>
      <c r="O151" s="21">
        <f>AC4</f>
        <v>0</v>
      </c>
    </row>
    <row r="152" spans="1:15">
      <c r="A152" s="20" t="s">
        <v>812</v>
      </c>
      <c r="B152" s="21">
        <v>0</v>
      </c>
      <c r="L152" s="20">
        <f>'C-taust'!C233</f>
        <v>0</v>
      </c>
      <c r="M152">
        <f>'C-taust'!Q233</f>
        <v>0</v>
      </c>
      <c r="N152">
        <f>'C-taust'!R233</f>
        <v>0</v>
      </c>
      <c r="O152" s="21">
        <f>AD4</f>
        <v>0</v>
      </c>
    </row>
    <row r="153" spans="1:15">
      <c r="A153" s="20"/>
      <c r="B153" s="21"/>
      <c r="L153" s="20">
        <f>'C-taust'!C234</f>
        <v>0</v>
      </c>
      <c r="M153">
        <f>'C-taust'!Q234</f>
        <v>0</v>
      </c>
      <c r="N153">
        <f>'C-taust'!R234</f>
        <v>0</v>
      </c>
      <c r="O153" s="21">
        <f>AE4</f>
        <v>0</v>
      </c>
    </row>
    <row r="154" spans="1:15">
      <c r="A154" s="80" t="s">
        <v>180</v>
      </c>
      <c r="B154" s="21"/>
      <c r="L154" s="20">
        <f>'C-taust'!C235</f>
        <v>0</v>
      </c>
      <c r="M154">
        <f>'C-taust'!Q235</f>
        <v>0</v>
      </c>
      <c r="N154">
        <f>'C-taust'!R235</f>
        <v>0</v>
      </c>
      <c r="O154" s="21">
        <f>AF4</f>
        <v>0</v>
      </c>
    </row>
    <row r="155" spans="1:15">
      <c r="A155" s="20" t="s">
        <v>807</v>
      </c>
      <c r="B155" s="21"/>
      <c r="L155" s="20">
        <f>'C-taust'!C236</f>
        <v>0</v>
      </c>
      <c r="M155">
        <f>'C-taust'!Q236</f>
        <v>0</v>
      </c>
      <c r="N155">
        <f>'C-taust'!R236</f>
        <v>0</v>
      </c>
      <c r="O155" s="21">
        <f>AG4</f>
        <v>0</v>
      </c>
    </row>
    <row r="156" spans="1:15">
      <c r="A156" s="20" t="s">
        <v>808</v>
      </c>
      <c r="B156" s="21"/>
      <c r="L156" s="20">
        <f>'C-taust'!C237</f>
        <v>0</v>
      </c>
      <c r="M156">
        <f>'C-taust'!Q237</f>
        <v>0</v>
      </c>
      <c r="N156">
        <f>'C-taust'!R237</f>
        <v>0</v>
      </c>
      <c r="O156" s="21">
        <f>AH4</f>
        <v>0</v>
      </c>
    </row>
    <row r="157" spans="1:15">
      <c r="A157" s="20" t="s">
        <v>810</v>
      </c>
      <c r="B157" s="21"/>
      <c r="L157" s="20">
        <f>'C-taust'!C238</f>
        <v>0</v>
      </c>
      <c r="M157">
        <f>'C-taust'!Q238</f>
        <v>0</v>
      </c>
      <c r="N157">
        <f>'C-taust'!R238</f>
        <v>0</v>
      </c>
      <c r="O157" s="21">
        <f>AI4</f>
        <v>0</v>
      </c>
    </row>
    <row r="158" spans="1:15" ht="15" thickBot="1">
      <c r="A158" s="58" t="s">
        <v>812</v>
      </c>
      <c r="B158" s="37">
        <f>SUM(Ettev_kalk!G404:I404)</f>
        <v>0</v>
      </c>
      <c r="L158" s="20">
        <f>'C-taust'!C239</f>
        <v>0</v>
      </c>
      <c r="M158">
        <f>'C-taust'!Q239</f>
        <v>0</v>
      </c>
      <c r="N158">
        <f>'C-taust'!R239</f>
        <v>0</v>
      </c>
      <c r="O158" s="21">
        <f>AJ4</f>
        <v>0</v>
      </c>
    </row>
    <row r="159" spans="1:15">
      <c r="L159" s="20">
        <f>'C-taust'!C240</f>
        <v>0</v>
      </c>
      <c r="M159">
        <f>'C-taust'!Q240</f>
        <v>0</v>
      </c>
      <c r="N159">
        <f>'C-taust'!R240</f>
        <v>0</v>
      </c>
      <c r="O159" s="21">
        <f>AK4</f>
        <v>0</v>
      </c>
    </row>
    <row r="160" spans="1:15">
      <c r="L160" s="20">
        <f>'C-taust'!C241</f>
        <v>0</v>
      </c>
      <c r="M160">
        <f>'C-taust'!Q241</f>
        <v>0</v>
      </c>
      <c r="N160">
        <f>'C-taust'!R241</f>
        <v>0</v>
      </c>
      <c r="O160" s="21">
        <f>AL4</f>
        <v>0</v>
      </c>
    </row>
    <row r="161" spans="1:74">
      <c r="L161" s="20">
        <f>'C-taust'!C242</f>
        <v>0</v>
      </c>
      <c r="M161">
        <f>'C-taust'!Q242</f>
        <v>0</v>
      </c>
      <c r="N161">
        <f>'C-taust'!R242</f>
        <v>0</v>
      </c>
      <c r="O161" s="21">
        <f>AM4</f>
        <v>0</v>
      </c>
    </row>
    <row r="162" spans="1:74">
      <c r="L162" s="20">
        <f>'C-taust'!C243</f>
        <v>0</v>
      </c>
      <c r="M162">
        <f>'C-taust'!Q243</f>
        <v>0</v>
      </c>
      <c r="N162">
        <f>'C-taust'!R243</f>
        <v>0</v>
      </c>
      <c r="O162" s="21">
        <f>AN4</f>
        <v>0</v>
      </c>
      <c r="Q162" t="s">
        <v>27</v>
      </c>
      <c r="R162" t="s">
        <v>941</v>
      </c>
    </row>
    <row r="163" spans="1:74">
      <c r="L163" s="20">
        <f>'C-taust'!C244</f>
        <v>0</v>
      </c>
      <c r="M163">
        <f>'C-taust'!Q244</f>
        <v>0</v>
      </c>
      <c r="N163">
        <f>'C-taust'!R244</f>
        <v>0</v>
      </c>
      <c r="O163" s="21">
        <f>AQ4</f>
        <v>0</v>
      </c>
      <c r="Q163">
        <f>SUM(M163:M165)</f>
        <v>0</v>
      </c>
      <c r="R163">
        <f>SUM(O126:O165)</f>
        <v>0</v>
      </c>
    </row>
    <row r="164" spans="1:74">
      <c r="L164" s="20">
        <f>'C-taust'!C245</f>
        <v>0</v>
      </c>
      <c r="M164">
        <f>'C-taust'!Q245</f>
        <v>0</v>
      </c>
      <c r="N164">
        <f>'C-taust'!R245</f>
        <v>0</v>
      </c>
      <c r="O164" s="21">
        <f>AR4</f>
        <v>0</v>
      </c>
    </row>
    <row r="165" spans="1:74" ht="15" thickBot="1">
      <c r="L165" s="58">
        <f>'C-taust'!C246</f>
        <v>0</v>
      </c>
      <c r="M165" s="36">
        <f>'C-taust'!Q246</f>
        <v>0</v>
      </c>
      <c r="N165" s="36">
        <f>'C-taust'!R246</f>
        <v>0</v>
      </c>
      <c r="O165" s="37">
        <f>AS4</f>
        <v>0</v>
      </c>
      <c r="R165" t="e">
        <f>Q163/R163</f>
        <v>#DIV/0!</v>
      </c>
    </row>
    <row r="167" spans="1:74">
      <c r="A167" s="1" t="s">
        <v>1025</v>
      </c>
    </row>
    <row r="168" spans="1:74" ht="15" thickBot="1"/>
    <row r="169" spans="1:74" ht="15" thickBot="1">
      <c r="A169" s="1340" t="s">
        <v>1026</v>
      </c>
      <c r="B169" s="1350"/>
      <c r="C169" s="1350"/>
      <c r="D169" s="1350"/>
      <c r="E169" s="1350"/>
      <c r="F169" s="1350"/>
      <c r="G169" s="1350"/>
      <c r="H169" s="1350"/>
      <c r="I169" s="1350"/>
      <c r="J169" s="1350"/>
      <c r="K169" s="1350"/>
      <c r="L169" s="1350"/>
      <c r="M169" s="1350"/>
      <c r="N169" s="1350"/>
      <c r="O169" s="1350"/>
      <c r="P169" s="1350"/>
      <c r="Q169" s="1350"/>
      <c r="R169" s="1350"/>
      <c r="S169" s="1350"/>
      <c r="T169" s="1350"/>
      <c r="U169" s="1350"/>
      <c r="V169" s="1350"/>
      <c r="W169" s="1350"/>
      <c r="X169" s="1351"/>
      <c r="Z169" s="1340" t="s">
        <v>1027</v>
      </c>
      <c r="AA169" s="1350"/>
      <c r="AB169" s="1350"/>
      <c r="AC169" s="1350"/>
      <c r="AD169" s="1350"/>
      <c r="AE169" s="1350"/>
      <c r="AF169" s="1350"/>
      <c r="AG169" s="1350"/>
      <c r="AH169" s="1350"/>
      <c r="AI169" s="1350"/>
      <c r="AJ169" s="1350"/>
      <c r="AK169" s="1350"/>
      <c r="AL169" s="1350"/>
      <c r="AM169" s="1350"/>
      <c r="AN169" s="1350"/>
      <c r="AO169" s="1350"/>
      <c r="AP169" s="1350"/>
      <c r="AQ169" s="1350"/>
      <c r="AR169" s="1350"/>
      <c r="AS169" s="1350"/>
      <c r="AT169" s="1350"/>
      <c r="AU169" s="1350"/>
      <c r="AV169" s="1350"/>
      <c r="AW169" s="1351"/>
      <c r="AY169" s="1340" t="s">
        <v>1028</v>
      </c>
      <c r="AZ169" s="1350"/>
      <c r="BA169" s="1350"/>
      <c r="BB169" s="1350"/>
      <c r="BC169" s="1350"/>
      <c r="BD169" s="1350"/>
      <c r="BE169" s="1350"/>
      <c r="BF169" s="1350"/>
      <c r="BG169" s="1350"/>
      <c r="BH169" s="1350"/>
      <c r="BI169" s="1350"/>
      <c r="BJ169" s="1350"/>
      <c r="BK169" s="1350"/>
      <c r="BL169" s="1350"/>
      <c r="BM169" s="1350"/>
      <c r="BN169" s="1350"/>
      <c r="BO169" s="1350"/>
      <c r="BP169" s="1350"/>
      <c r="BQ169" s="1350"/>
      <c r="BR169" s="1350"/>
      <c r="BS169" s="1350"/>
      <c r="BT169" s="1350"/>
      <c r="BU169" s="1350"/>
      <c r="BV169" s="1351"/>
    </row>
    <row r="170" spans="1:74" ht="15" thickBot="1">
      <c r="A170" s="20"/>
      <c r="D170" s="21"/>
      <c r="Z170" s="20"/>
      <c r="AC170" s="21"/>
      <c r="AY170" s="20"/>
      <c r="BB170" s="21"/>
    </row>
    <row r="171" spans="1:74">
      <c r="A171" s="193" t="s">
        <v>728</v>
      </c>
      <c r="B171" s="178"/>
      <c r="C171" s="178"/>
      <c r="D171" s="194"/>
      <c r="S171" s="90" t="s">
        <v>185</v>
      </c>
      <c r="T171" s="16"/>
      <c r="U171" s="16"/>
      <c r="V171" s="16"/>
      <c r="W171" s="16"/>
      <c r="X171" s="17"/>
      <c r="Z171" s="193" t="s">
        <v>728</v>
      </c>
      <c r="AA171" s="178"/>
      <c r="AB171" s="178"/>
      <c r="AC171" s="194"/>
      <c r="AR171" s="90" t="s">
        <v>185</v>
      </c>
      <c r="AS171" s="16"/>
      <c r="AT171" s="16"/>
      <c r="AU171" s="16"/>
      <c r="AV171" s="16"/>
      <c r="AW171" s="17"/>
      <c r="AY171" s="193" t="s">
        <v>728</v>
      </c>
      <c r="AZ171" s="178"/>
      <c r="BA171" s="178"/>
      <c r="BB171" s="194"/>
      <c r="BQ171" s="90" t="s">
        <v>185</v>
      </c>
      <c r="BR171" s="16"/>
      <c r="BS171" s="16"/>
      <c r="BT171" s="16"/>
      <c r="BU171" s="16"/>
      <c r="BV171" s="17"/>
    </row>
    <row r="172" spans="1:74">
      <c r="A172" s="188" t="s">
        <v>729</v>
      </c>
      <c r="B172" s="189"/>
      <c r="C172" s="189"/>
      <c r="D172" s="190"/>
      <c r="F172" s="1" t="str">
        <f>Loomakasvatus!C13</f>
        <v>Piimalehmad (5000 kg)</v>
      </c>
      <c r="G172" s="1" t="str">
        <f>Loomakasvatus!D13</f>
        <v>Piimalehmad (6000 kg)</v>
      </c>
      <c r="H172" s="1" t="str">
        <f>Loomakasvatus!E13</f>
        <v>Piimalehmad (7000 kg)</v>
      </c>
      <c r="I172" s="1" t="str">
        <f>Loomakasvatus!F13</f>
        <v>Piimalehmad (8000 kg)</v>
      </c>
      <c r="J172" s="1" t="str">
        <f>Loomakasvatus!G13</f>
        <v>Piimalehmad (9000 kg)</v>
      </c>
      <c r="K172" s="1" t="str">
        <f>Loomakasvatus!H13</f>
        <v>Piimalehmad (10000 kg)</v>
      </c>
      <c r="L172" s="1" t="str">
        <f>Loomakasvatus!I13</f>
        <v>Ammlehmad</v>
      </c>
      <c r="M172" s="1" t="str">
        <f>Loomakasvatus!J13</f>
        <v>Muud veised</v>
      </c>
      <c r="N172" s="1" t="str">
        <f>Loomakasvatus!K13</f>
        <v>Lehmvasikad</v>
      </c>
      <c r="O172" s="1" t="str">
        <f>Loomakasvatus!L13</f>
        <v>Pullvasikad</v>
      </c>
      <c r="P172" s="1" t="str">
        <f>Loomakasvatus!M13</f>
        <v>Lehmmullikad</v>
      </c>
      <c r="Q172" s="1" t="str">
        <f>Loomakasvatus!N13</f>
        <v>Pullmullikad</v>
      </c>
      <c r="S172" s="80" t="s">
        <v>515</v>
      </c>
      <c r="V172" t="s">
        <v>516</v>
      </c>
      <c r="W172" t="s">
        <v>514</v>
      </c>
      <c r="X172" s="21"/>
      <c r="Z172" s="188" t="s">
        <v>729</v>
      </c>
      <c r="AA172" s="189"/>
      <c r="AB172" s="189"/>
      <c r="AC172" s="190"/>
      <c r="AE172" s="1" t="str">
        <f>Loomakasvatus!AB13</f>
        <v>Pullvasikad</v>
      </c>
      <c r="AF172" s="1" t="str">
        <f>Loomakasvatus!AC13</f>
        <v>Lehmmullikad</v>
      </c>
      <c r="AG172" s="1" t="str">
        <f>Loomakasvatus!AD13</f>
        <v>Pullmullikad</v>
      </c>
      <c r="AH172" s="1">
        <f>Loomakasvatus!AE13</f>
        <v>0</v>
      </c>
      <c r="AI172" s="1">
        <f>Loomakasvatus!AF13</f>
        <v>0</v>
      </c>
      <c r="AJ172" s="1">
        <f>Loomakasvatus!AG13</f>
        <v>0</v>
      </c>
      <c r="AK172" s="1" t="str">
        <f>Loomakasvatus!AH13</f>
        <v>Loomarühm</v>
      </c>
      <c r="AL172" s="1" t="str">
        <f>Loomakasvatus!AI13</f>
        <v>Piimalehmad (5000 kg)</v>
      </c>
      <c r="AM172" s="1" t="str">
        <f>Loomakasvatus!AJ13</f>
        <v>Piimalehmad (6000 kg)</v>
      </c>
      <c r="AN172" s="1" t="str">
        <f>Loomakasvatus!AK13</f>
        <v>Piimalehmad (7000 kg)</v>
      </c>
      <c r="AO172" s="1" t="str">
        <f>Loomakasvatus!AL13</f>
        <v>Piimalehmad (8000 kg)</v>
      </c>
      <c r="AP172" s="1" t="str">
        <f>Loomakasvatus!AM13</f>
        <v>Piimalehmad (9000 kg)</v>
      </c>
      <c r="AR172" s="80" t="s">
        <v>515</v>
      </c>
      <c r="AU172" t="s">
        <v>516</v>
      </c>
      <c r="AV172" t="s">
        <v>514</v>
      </c>
      <c r="AW172" s="21"/>
      <c r="AY172" s="188" t="s">
        <v>729</v>
      </c>
      <c r="AZ172" s="189"/>
      <c r="BA172" s="189"/>
      <c r="BB172" s="190"/>
      <c r="BD172" s="1" t="str">
        <f>Loomakasvatus!AI13</f>
        <v>Piimalehmad (5000 kg)</v>
      </c>
      <c r="BE172" s="1" t="str">
        <f>Loomakasvatus!AJ13</f>
        <v>Piimalehmad (6000 kg)</v>
      </c>
      <c r="BF172" s="1" t="str">
        <f>Loomakasvatus!AK13</f>
        <v>Piimalehmad (7000 kg)</v>
      </c>
      <c r="BG172" s="1" t="str">
        <f>Loomakasvatus!AL13</f>
        <v>Piimalehmad (8000 kg)</v>
      </c>
      <c r="BH172" s="1" t="str">
        <f>Loomakasvatus!AM13</f>
        <v>Piimalehmad (9000 kg)</v>
      </c>
      <c r="BI172" s="1" t="str">
        <f>Loomakasvatus!AN13</f>
        <v>Piimalehmad (10000 kg)</v>
      </c>
      <c r="BJ172" s="1" t="str">
        <f>Loomakasvatus!AO13</f>
        <v>Ammlehmad</v>
      </c>
      <c r="BK172" s="1" t="str">
        <f>Loomakasvatus!AP13</f>
        <v>Muud veised</v>
      </c>
      <c r="BL172" s="1" t="str">
        <f>Loomakasvatus!AQ13</f>
        <v>Lehmvasikad</v>
      </c>
      <c r="BM172" s="1" t="str">
        <f>Loomakasvatus!AR13</f>
        <v>Pullvasikad</v>
      </c>
      <c r="BN172" s="1" t="str">
        <f>Loomakasvatus!AS13</f>
        <v>Lehmmullikad</v>
      </c>
      <c r="BO172" s="1" t="str">
        <f>Loomakasvatus!AT13</f>
        <v>Pullmullikad</v>
      </c>
      <c r="BQ172" s="80" t="s">
        <v>515</v>
      </c>
      <c r="BT172" t="s">
        <v>516</v>
      </c>
      <c r="BU172" t="s">
        <v>514</v>
      </c>
      <c r="BV172" s="21"/>
    </row>
    <row r="173" spans="1:74">
      <c r="A173" s="115" t="s">
        <v>731</v>
      </c>
      <c r="B173" s="31" t="s">
        <v>732</v>
      </c>
      <c r="D173" s="815" t="e">
        <f>D174*D175/1000</f>
        <v>#REF!</v>
      </c>
      <c r="E173" t="s">
        <v>135</v>
      </c>
      <c r="F173" s="42">
        <f>F174*F175/1000</f>
        <v>0</v>
      </c>
      <c r="G173" s="42">
        <f t="shared" ref="G173:Q173" si="32">G174*G175/1000</f>
        <v>0</v>
      </c>
      <c r="H173" s="42">
        <f t="shared" si="32"/>
        <v>0</v>
      </c>
      <c r="I173" s="42">
        <f t="shared" si="32"/>
        <v>0</v>
      </c>
      <c r="J173" s="42">
        <f t="shared" si="32"/>
        <v>0</v>
      </c>
      <c r="K173" s="42">
        <f t="shared" si="32"/>
        <v>0</v>
      </c>
      <c r="L173" s="42">
        <f t="shared" si="32"/>
        <v>0</v>
      </c>
      <c r="M173" s="42">
        <f t="shared" si="32"/>
        <v>0</v>
      </c>
      <c r="N173" s="42">
        <f t="shared" si="32"/>
        <v>0</v>
      </c>
      <c r="O173" s="42">
        <f t="shared" si="32"/>
        <v>0</v>
      </c>
      <c r="P173" s="42">
        <f t="shared" si="32"/>
        <v>0</v>
      </c>
      <c r="Q173" s="42">
        <f t="shared" si="32"/>
        <v>0</v>
      </c>
      <c r="S173" s="20" t="s">
        <v>240</v>
      </c>
      <c r="T173">
        <f>Loomakasvatus!C38</f>
        <v>0</v>
      </c>
      <c r="U173">
        <f>Loomakasvatus!D38</f>
        <v>0</v>
      </c>
      <c r="V173" t="str">
        <f>IFERROR(VLOOKUP(T173,EFid!$A$50:$B$73,2,FALSE),"0")</f>
        <v>0</v>
      </c>
      <c r="W173">
        <f>U173*V173</f>
        <v>0</v>
      </c>
      <c r="X173" s="445">
        <f>SUM(W173:W175)</f>
        <v>0</v>
      </c>
      <c r="Z173" s="115" t="s">
        <v>731</v>
      </c>
      <c r="AA173" s="31" t="s">
        <v>732</v>
      </c>
      <c r="AC173" s="815" t="e">
        <f>AC174*AC175/1000</f>
        <v>#REF!</v>
      </c>
      <c r="AD173" t="s">
        <v>135</v>
      </c>
      <c r="AE173" s="42">
        <f>AE174*AE175/1000</f>
        <v>0</v>
      </c>
      <c r="AF173" s="42">
        <f t="shared" ref="AF173:AP173" si="33">AF174*AF175/1000</f>
        <v>0</v>
      </c>
      <c r="AG173" s="42">
        <f t="shared" si="33"/>
        <v>0</v>
      </c>
      <c r="AH173" s="42">
        <f t="shared" si="33"/>
        <v>0</v>
      </c>
      <c r="AI173" s="42">
        <f t="shared" si="33"/>
        <v>0</v>
      </c>
      <c r="AJ173" s="42">
        <f t="shared" si="33"/>
        <v>0</v>
      </c>
      <c r="AK173" s="42">
        <f t="shared" si="33"/>
        <v>0</v>
      </c>
      <c r="AL173" s="42">
        <f t="shared" si="33"/>
        <v>0</v>
      </c>
      <c r="AM173" s="42">
        <f t="shared" si="33"/>
        <v>0</v>
      </c>
      <c r="AN173" s="42">
        <f t="shared" si="33"/>
        <v>0</v>
      </c>
      <c r="AO173" s="42">
        <f t="shared" si="33"/>
        <v>0</v>
      </c>
      <c r="AP173" s="42">
        <f t="shared" si="33"/>
        <v>0</v>
      </c>
      <c r="AR173" s="20" t="s">
        <v>240</v>
      </c>
      <c r="AS173">
        <f>Loomakasvatus!S38</f>
        <v>0</v>
      </c>
      <c r="AT173">
        <f>Loomakasvatus!T38</f>
        <v>0</v>
      </c>
      <c r="AU173" t="str">
        <f>IFERROR(VLOOKUP(AS173,EFid!$A$50:$B$73,2,FALSE),"0")</f>
        <v>0</v>
      </c>
      <c r="AV173">
        <f>AT173*AU173</f>
        <v>0</v>
      </c>
      <c r="AW173" s="445">
        <f>SUM(AV173:AV175)</f>
        <v>0</v>
      </c>
      <c r="AY173" s="115" t="s">
        <v>731</v>
      </c>
      <c r="AZ173" s="31" t="s">
        <v>732</v>
      </c>
      <c r="BB173" s="815" t="e">
        <f>BB174*BB175/1000</f>
        <v>#REF!</v>
      </c>
      <c r="BC173" t="s">
        <v>135</v>
      </c>
      <c r="BD173" s="42">
        <f>BD174*BD175/1000</f>
        <v>0</v>
      </c>
      <c r="BE173" s="42">
        <f t="shared" ref="BE173:BO173" si="34">BE174*BE175/1000</f>
        <v>0</v>
      </c>
      <c r="BF173" s="42">
        <f t="shared" si="34"/>
        <v>0</v>
      </c>
      <c r="BG173" s="42">
        <f t="shared" si="34"/>
        <v>0</v>
      </c>
      <c r="BH173" s="42">
        <f t="shared" si="34"/>
        <v>0</v>
      </c>
      <c r="BI173" s="42">
        <f t="shared" si="34"/>
        <v>0</v>
      </c>
      <c r="BJ173" s="42">
        <f t="shared" si="34"/>
        <v>0</v>
      </c>
      <c r="BK173" s="42">
        <f t="shared" si="34"/>
        <v>0</v>
      </c>
      <c r="BL173" s="42">
        <f t="shared" si="34"/>
        <v>0</v>
      </c>
      <c r="BM173" s="42">
        <f t="shared" si="34"/>
        <v>0</v>
      </c>
      <c r="BN173" s="42">
        <f t="shared" si="34"/>
        <v>0</v>
      </c>
      <c r="BO173" s="42">
        <f t="shared" si="34"/>
        <v>0</v>
      </c>
      <c r="BQ173" s="20" t="s">
        <v>240</v>
      </c>
      <c r="BR173">
        <f>Loomakasvatus!AI38</f>
        <v>0</v>
      </c>
      <c r="BS173">
        <f>Loomakasvatus!AJ38</f>
        <v>0</v>
      </c>
      <c r="BT173" t="str">
        <f>IFERROR(VLOOKUP(BR173,EFid!$A$50:$B$73,2,FALSE),"0")</f>
        <v>0</v>
      </c>
      <c r="BU173">
        <f>BS173*BT173</f>
        <v>0</v>
      </c>
      <c r="BV173" s="445">
        <f>SUM(BU173:BU175)</f>
        <v>0</v>
      </c>
    </row>
    <row r="174" spans="1:74">
      <c r="A174" s="115" t="s">
        <v>734</v>
      </c>
      <c r="B174" s="31" t="s">
        <v>735</v>
      </c>
      <c r="C174" s="33"/>
      <c r="D174" s="816" t="e">
        <f>Loomakasvatus!#REF!</f>
        <v>#REF!</v>
      </c>
      <c r="E174" t="s">
        <v>736</v>
      </c>
      <c r="F174" s="811">
        <f>Loomakasvatus!C21</f>
        <v>0</v>
      </c>
      <c r="G174" s="811">
        <f>Loomakasvatus!D21</f>
        <v>0</v>
      </c>
      <c r="H174" s="811">
        <f>Loomakasvatus!E21</f>
        <v>0</v>
      </c>
      <c r="I174" s="811">
        <f>Loomakasvatus!F21</f>
        <v>0</v>
      </c>
      <c r="J174" s="811">
        <f>Loomakasvatus!G21</f>
        <v>0</v>
      </c>
      <c r="K174" s="811">
        <f>Loomakasvatus!H21</f>
        <v>0</v>
      </c>
      <c r="L174" s="811">
        <f>Loomakasvatus!I21</f>
        <v>0</v>
      </c>
      <c r="M174" s="811">
        <f>Loomakasvatus!J21</f>
        <v>0</v>
      </c>
      <c r="N174" s="811">
        <f>Loomakasvatus!K21</f>
        <v>0</v>
      </c>
      <c r="O174" s="811">
        <f>Loomakasvatus!L21</f>
        <v>0</v>
      </c>
      <c r="P174" s="811">
        <f>Loomakasvatus!M21</f>
        <v>0</v>
      </c>
      <c r="Q174" s="811">
        <f>Loomakasvatus!N21</f>
        <v>0</v>
      </c>
      <c r="S174" s="20" t="s">
        <v>243</v>
      </c>
      <c r="T174">
        <f>Loomakasvatus!C39</f>
        <v>0</v>
      </c>
      <c r="U174">
        <f>Loomakasvatus!D39</f>
        <v>0</v>
      </c>
      <c r="V174" t="str">
        <f>IFERROR(VLOOKUP(T174,EFid!$A$50:$B$73,2,FALSE),"0")</f>
        <v>0</v>
      </c>
      <c r="W174">
        <f t="shared" ref="W174:W175" si="35">U174*V174</f>
        <v>0</v>
      </c>
      <c r="X174" s="21"/>
      <c r="Z174" s="115" t="s">
        <v>734</v>
      </c>
      <c r="AA174" s="31" t="s">
        <v>735</v>
      </c>
      <c r="AB174" s="33"/>
      <c r="AC174" s="816" t="e">
        <f>Loomakasvatus!#REF!</f>
        <v>#REF!</v>
      </c>
      <c r="AD174" t="s">
        <v>736</v>
      </c>
      <c r="AE174" s="811">
        <f>Loomakasvatus!S21</f>
        <v>0</v>
      </c>
      <c r="AF174" s="811">
        <f>Loomakasvatus!T21</f>
        <v>0</v>
      </c>
      <c r="AG174" s="811">
        <f>Loomakasvatus!U21</f>
        <v>0</v>
      </c>
      <c r="AH174" s="811">
        <f>Loomakasvatus!V21</f>
        <v>0</v>
      </c>
      <c r="AI174" s="811">
        <f>Loomakasvatus!W21</f>
        <v>0</v>
      </c>
      <c r="AJ174" s="811">
        <f>Loomakasvatus!X21</f>
        <v>0</v>
      </c>
      <c r="AK174" s="811">
        <f>Loomakasvatus!Y21</f>
        <v>0</v>
      </c>
      <c r="AL174" s="811">
        <f>Loomakasvatus!Z21</f>
        <v>0</v>
      </c>
      <c r="AM174" s="811">
        <f>Loomakasvatus!AA21</f>
        <v>0</v>
      </c>
      <c r="AN174" s="811">
        <f>Loomakasvatus!AB21</f>
        <v>0</v>
      </c>
      <c r="AO174" s="811">
        <f>Loomakasvatus!AC21</f>
        <v>0</v>
      </c>
      <c r="AP174" s="811">
        <f>Loomakasvatus!AD21</f>
        <v>0</v>
      </c>
      <c r="AR174" s="20" t="s">
        <v>243</v>
      </c>
      <c r="AS174">
        <f>Loomakasvatus!S39</f>
        <v>0</v>
      </c>
      <c r="AT174">
        <f>Loomakasvatus!T39</f>
        <v>0</v>
      </c>
      <c r="AU174" t="str">
        <f>IFERROR(VLOOKUP(AS174,EFid!$A$50:$B$73,2,FALSE),"0")</f>
        <v>0</v>
      </c>
      <c r="AV174">
        <f t="shared" ref="AV174:AV175" si="36">AT174*AU174</f>
        <v>0</v>
      </c>
      <c r="AW174" s="21"/>
      <c r="AY174" s="115" t="s">
        <v>734</v>
      </c>
      <c r="AZ174" s="31" t="s">
        <v>735</v>
      </c>
      <c r="BA174" s="33"/>
      <c r="BB174" s="816" t="e">
        <f>Loomakasvatus!#REF!</f>
        <v>#REF!</v>
      </c>
      <c r="BC174" t="s">
        <v>736</v>
      </c>
      <c r="BD174" s="811">
        <f>Loomakasvatus!AI21</f>
        <v>0</v>
      </c>
      <c r="BE174" s="811">
        <f>Loomakasvatus!AJ21</f>
        <v>0</v>
      </c>
      <c r="BF174" s="811">
        <f>Loomakasvatus!AK21</f>
        <v>0</v>
      </c>
      <c r="BG174" s="811">
        <f>Loomakasvatus!AL21</f>
        <v>0</v>
      </c>
      <c r="BH174" s="811">
        <f>Loomakasvatus!AM21</f>
        <v>0</v>
      </c>
      <c r="BI174" s="811">
        <f>Loomakasvatus!AN21</f>
        <v>0</v>
      </c>
      <c r="BJ174" s="811">
        <f>Loomakasvatus!AO21</f>
        <v>0</v>
      </c>
      <c r="BK174" s="811">
        <f>Loomakasvatus!AP21</f>
        <v>0</v>
      </c>
      <c r="BL174" s="811">
        <f>Loomakasvatus!AQ21</f>
        <v>0</v>
      </c>
      <c r="BM174" s="811">
        <f>Loomakasvatus!AR21</f>
        <v>0</v>
      </c>
      <c r="BN174" s="811">
        <f>Loomakasvatus!AS21</f>
        <v>0</v>
      </c>
      <c r="BO174" s="811">
        <f>Loomakasvatus!AT21</f>
        <v>0</v>
      </c>
      <c r="BQ174" s="20" t="s">
        <v>243</v>
      </c>
      <c r="BR174">
        <f>Loomakasvatus!AI39</f>
        <v>0</v>
      </c>
      <c r="BS174">
        <f>Loomakasvatus!AJ39</f>
        <v>0</v>
      </c>
      <c r="BT174" t="str">
        <f>IFERROR(VLOOKUP(BR174,EFid!$A$50:$B$73,2,FALSE),"0")</f>
        <v>0</v>
      </c>
      <c r="BU174">
        <f t="shared" ref="BU174:BU175" si="37">BS174*BT174</f>
        <v>0</v>
      </c>
      <c r="BV174" s="21"/>
    </row>
    <row r="175" spans="1:74">
      <c r="A175" s="342" t="s">
        <v>737</v>
      </c>
      <c r="B175" s="343" t="s">
        <v>738</v>
      </c>
      <c r="C175" s="49"/>
      <c r="D175" s="817" t="e">
        <f>Loomakasvatus!#REF!</f>
        <v>#REF!</v>
      </c>
      <c r="E175" t="s">
        <v>135</v>
      </c>
      <c r="F175" s="811">
        <f>Loomakasvatus!C20</f>
        <v>0</v>
      </c>
      <c r="G175" s="811">
        <f>Loomakasvatus!D20</f>
        <v>0</v>
      </c>
      <c r="H175" s="811">
        <f>Loomakasvatus!E20</f>
        <v>0</v>
      </c>
      <c r="I175" s="811">
        <f>Loomakasvatus!F20</f>
        <v>0</v>
      </c>
      <c r="J175" s="811">
        <f>Loomakasvatus!G20</f>
        <v>0</v>
      </c>
      <c r="K175" s="811">
        <f>Loomakasvatus!H20</f>
        <v>0</v>
      </c>
      <c r="L175" s="811">
        <f>Loomakasvatus!I20</f>
        <v>0</v>
      </c>
      <c r="M175" s="811">
        <f>Loomakasvatus!J20</f>
        <v>0</v>
      </c>
      <c r="N175" s="811">
        <f>Loomakasvatus!K20</f>
        <v>0</v>
      </c>
      <c r="O175" s="811">
        <f>Loomakasvatus!L20</f>
        <v>0</v>
      </c>
      <c r="P175" s="811">
        <f>Loomakasvatus!M20</f>
        <v>0</v>
      </c>
      <c r="Q175" s="811">
        <f>Loomakasvatus!N20</f>
        <v>0</v>
      </c>
      <c r="S175" s="20" t="s">
        <v>244</v>
      </c>
      <c r="T175">
        <f>Loomakasvatus!C40</f>
        <v>0</v>
      </c>
      <c r="U175">
        <f>Loomakasvatus!D40</f>
        <v>0</v>
      </c>
      <c r="V175" t="str">
        <f>IFERROR(VLOOKUP(T175,EFid!$A$50:$B$73,2,FALSE),"0")</f>
        <v>0</v>
      </c>
      <c r="W175">
        <f t="shared" si="35"/>
        <v>0</v>
      </c>
      <c r="X175" s="21"/>
      <c r="Z175" s="342" t="s">
        <v>737</v>
      </c>
      <c r="AA175" s="343" t="s">
        <v>738</v>
      </c>
      <c r="AB175" s="49"/>
      <c r="AC175" s="817" t="e">
        <f>Loomakasvatus!#REF!</f>
        <v>#REF!</v>
      </c>
      <c r="AD175" t="s">
        <v>135</v>
      </c>
      <c r="AE175" s="811">
        <f>Loomakasvatus!S20</f>
        <v>0</v>
      </c>
      <c r="AF175" s="811">
        <f>Loomakasvatus!T20</f>
        <v>0</v>
      </c>
      <c r="AG175" s="811">
        <f>Loomakasvatus!U20</f>
        <v>0</v>
      </c>
      <c r="AH175" s="811">
        <f>Loomakasvatus!V20</f>
        <v>0</v>
      </c>
      <c r="AI175" s="811">
        <f>Loomakasvatus!W20</f>
        <v>0</v>
      </c>
      <c r="AJ175" s="811">
        <f>Loomakasvatus!X20</f>
        <v>0</v>
      </c>
      <c r="AK175" s="811">
        <f>Loomakasvatus!Y20</f>
        <v>0</v>
      </c>
      <c r="AL175" s="811">
        <f>Loomakasvatus!Z20</f>
        <v>0</v>
      </c>
      <c r="AM175" s="811">
        <f>Loomakasvatus!AA20</f>
        <v>0</v>
      </c>
      <c r="AN175" s="811">
        <f>Loomakasvatus!AB20</f>
        <v>0</v>
      </c>
      <c r="AO175" s="811">
        <f>Loomakasvatus!AC20</f>
        <v>0</v>
      </c>
      <c r="AP175" s="811">
        <f>Loomakasvatus!AD20</f>
        <v>0</v>
      </c>
      <c r="AR175" s="20" t="s">
        <v>244</v>
      </c>
      <c r="AS175">
        <f>Loomakasvatus!S40</f>
        <v>0</v>
      </c>
      <c r="AT175">
        <f>Loomakasvatus!T40</f>
        <v>0</v>
      </c>
      <c r="AU175" t="str">
        <f>IFERROR(VLOOKUP(AS175,EFid!$A$50:$B$73,2,FALSE),"0")</f>
        <v>0</v>
      </c>
      <c r="AV175">
        <f t="shared" si="36"/>
        <v>0</v>
      </c>
      <c r="AW175" s="21"/>
      <c r="AY175" s="342" t="s">
        <v>737</v>
      </c>
      <c r="AZ175" s="343" t="s">
        <v>738</v>
      </c>
      <c r="BA175" s="49"/>
      <c r="BB175" s="817" t="e">
        <f>Loomakasvatus!#REF!</f>
        <v>#REF!</v>
      </c>
      <c r="BC175" t="s">
        <v>135</v>
      </c>
      <c r="BD175" s="811">
        <f>Loomakasvatus!AI20</f>
        <v>0</v>
      </c>
      <c r="BE175" s="811">
        <f>Loomakasvatus!AJ20</f>
        <v>0</v>
      </c>
      <c r="BF175" s="811">
        <f>Loomakasvatus!AK20</f>
        <v>0</v>
      </c>
      <c r="BG175" s="811">
        <f>Loomakasvatus!AL20</f>
        <v>0</v>
      </c>
      <c r="BH175" s="811">
        <f>Loomakasvatus!AM20</f>
        <v>0</v>
      </c>
      <c r="BI175" s="811">
        <f>Loomakasvatus!AN20</f>
        <v>0</v>
      </c>
      <c r="BJ175" s="811">
        <f>Loomakasvatus!AO20</f>
        <v>0</v>
      </c>
      <c r="BK175" s="811">
        <f>Loomakasvatus!AP20</f>
        <v>0</v>
      </c>
      <c r="BL175" s="811">
        <f>Loomakasvatus!AQ20</f>
        <v>0</v>
      </c>
      <c r="BM175" s="811">
        <f>Loomakasvatus!AR20</f>
        <v>0</v>
      </c>
      <c r="BN175" s="811">
        <f>Loomakasvatus!AS20</f>
        <v>0</v>
      </c>
      <c r="BO175" s="811">
        <f>Loomakasvatus!AT20</f>
        <v>0</v>
      </c>
      <c r="BQ175" s="20" t="s">
        <v>244</v>
      </c>
      <c r="BR175">
        <f>Loomakasvatus!AI40</f>
        <v>0</v>
      </c>
      <c r="BS175">
        <f>Loomakasvatus!AJ40</f>
        <v>0</v>
      </c>
      <c r="BT175" t="str">
        <f>IFERROR(VLOOKUP(BR175,EFid!$A$50:$B$73,2,FALSE),"0")</f>
        <v>0</v>
      </c>
      <c r="BU175">
        <f t="shared" si="37"/>
        <v>0</v>
      </c>
      <c r="BV175" s="21"/>
    </row>
    <row r="176" spans="1:74">
      <c r="A176" s="196" t="s">
        <v>827</v>
      </c>
      <c r="B176" s="195"/>
      <c r="C176" s="195"/>
      <c r="D176" s="197"/>
      <c r="S176" s="20" t="str">
        <f>Loomakasvatus!B32</f>
        <v>Kasutatud soojusenergia liik 1</v>
      </c>
      <c r="T176">
        <f>Loomakasvatus!C32</f>
        <v>0</v>
      </c>
      <c r="U176">
        <f>Loomakasvatus!D32</f>
        <v>0</v>
      </c>
      <c r="V176">
        <f>IFERROR(VLOOKUP(T176,EFid!$A$3:$D$31,2,FALSE),0)</f>
        <v>0</v>
      </c>
      <c r="W176">
        <f>V176*U176</f>
        <v>0</v>
      </c>
      <c r="X176" s="445">
        <f>SUM(W176:W178)</f>
        <v>0</v>
      </c>
      <c r="Z176" s="196" t="s">
        <v>827</v>
      </c>
      <c r="AA176" s="195"/>
      <c r="AB176" s="195"/>
      <c r="AC176" s="197"/>
      <c r="AR176" s="20" t="str">
        <f>Loomakasvatus!R32</f>
        <v>Kasutatud soojusenergia liik 1</v>
      </c>
      <c r="AS176">
        <f>Loomakasvatus!S32</f>
        <v>0</v>
      </c>
      <c r="AT176">
        <f>Loomakasvatus!T32</f>
        <v>0</v>
      </c>
      <c r="AU176">
        <f>IFERROR(VLOOKUP(AS176,EFid!$A$3:$D$31,2,FALSE),0)</f>
        <v>0</v>
      </c>
      <c r="AV176">
        <f>AU176*AT176</f>
        <v>0</v>
      </c>
      <c r="AW176" s="445">
        <f>SUM(AV176:AV178)</f>
        <v>0</v>
      </c>
      <c r="AY176" s="196" t="s">
        <v>827</v>
      </c>
      <c r="AZ176" s="195"/>
      <c r="BA176" s="195"/>
      <c r="BB176" s="197"/>
      <c r="BQ176" s="20" t="str">
        <f>Loomakasvatus!AH32</f>
        <v>Kasutatud soojusenergia liik 1</v>
      </c>
      <c r="BR176">
        <f>Loomakasvatus!AI32</f>
        <v>0</v>
      </c>
      <c r="BS176">
        <f>Loomakasvatus!AJ32</f>
        <v>0</v>
      </c>
      <c r="BT176">
        <f>IFERROR(VLOOKUP(BR176,EFid!$A$3:$D$31,2,FALSE),0)</f>
        <v>0</v>
      </c>
      <c r="BU176">
        <f>BT176*BS176</f>
        <v>0</v>
      </c>
      <c r="BV176" s="445">
        <f>SUM(BU176:BU178)</f>
        <v>0</v>
      </c>
    </row>
    <row r="177" spans="1:74">
      <c r="A177" s="188" t="s">
        <v>828</v>
      </c>
      <c r="B177" s="189"/>
      <c r="C177" s="189"/>
      <c r="D177" s="190"/>
      <c r="S177" s="20" t="str">
        <f>Loomakasvatus!B33</f>
        <v>Kasutatud soojusenergia liik 2</v>
      </c>
      <c r="T177">
        <f>Loomakasvatus!C33</f>
        <v>0</v>
      </c>
      <c r="U177">
        <f>Loomakasvatus!D33</f>
        <v>0</v>
      </c>
      <c r="V177">
        <f>IFERROR(VLOOKUP(T177,EFid!$A$3:$D$31,2,FALSE),0)</f>
        <v>0</v>
      </c>
      <c r="W177">
        <f t="shared" ref="W177:W218" si="38">V177*U177</f>
        <v>0</v>
      </c>
      <c r="X177" s="21"/>
      <c r="Z177" s="188" t="s">
        <v>828</v>
      </c>
      <c r="AA177" s="189"/>
      <c r="AB177" s="189"/>
      <c r="AC177" s="190"/>
      <c r="AR177" s="20" t="str">
        <f>Loomakasvatus!R33</f>
        <v>Kasutatud soojusenergia liik 2</v>
      </c>
      <c r="AS177">
        <f>Loomakasvatus!S33</f>
        <v>0</v>
      </c>
      <c r="AT177">
        <f>Loomakasvatus!T33</f>
        <v>0</v>
      </c>
      <c r="AU177">
        <f>IFERROR(VLOOKUP(AS177,EFid!$A$3:$D$31,2,FALSE),0)</f>
        <v>0</v>
      </c>
      <c r="AV177">
        <f t="shared" ref="AV177:AV181" si="39">AU177*AT177</f>
        <v>0</v>
      </c>
      <c r="AW177" s="21"/>
      <c r="AY177" s="188" t="s">
        <v>828</v>
      </c>
      <c r="AZ177" s="189"/>
      <c r="BA177" s="189"/>
      <c r="BB177" s="190"/>
      <c r="BQ177" s="20" t="str">
        <f>Loomakasvatus!AH33</f>
        <v>Kasutatud soojusenergia liik 2</v>
      </c>
      <c r="BR177">
        <f>Loomakasvatus!AI33</f>
        <v>0</v>
      </c>
      <c r="BS177">
        <f>Loomakasvatus!AJ33</f>
        <v>0</v>
      </c>
      <c r="BT177">
        <f>IFERROR(VLOOKUP(BR177,EFid!$A$3:$D$31,2,FALSE),0)</f>
        <v>0</v>
      </c>
      <c r="BU177">
        <f t="shared" ref="BU177:BU181" si="40">BT177*BS177</f>
        <v>0</v>
      </c>
      <c r="BV177" s="21"/>
    </row>
    <row r="178" spans="1:74">
      <c r="A178" s="115" t="s">
        <v>829</v>
      </c>
      <c r="B178" s="31" t="s">
        <v>830</v>
      </c>
      <c r="D178" s="815" t="e">
        <f>D179*D180/1000</f>
        <v>#REF!</v>
      </c>
      <c r="E178" t="s">
        <v>135</v>
      </c>
      <c r="F178" s="42">
        <f>F179*F180/1000</f>
        <v>0</v>
      </c>
      <c r="G178" s="42">
        <f t="shared" ref="G178:Q178" si="41">G179*G180/1000</f>
        <v>0</v>
      </c>
      <c r="H178" s="42">
        <f t="shared" si="41"/>
        <v>0</v>
      </c>
      <c r="I178" s="42">
        <f t="shared" si="41"/>
        <v>0</v>
      </c>
      <c r="J178" s="42">
        <f t="shared" si="41"/>
        <v>0</v>
      </c>
      <c r="K178" s="42">
        <f t="shared" si="41"/>
        <v>0</v>
      </c>
      <c r="L178" s="42">
        <f t="shared" si="41"/>
        <v>0</v>
      </c>
      <c r="M178" s="42">
        <f t="shared" si="41"/>
        <v>0</v>
      </c>
      <c r="N178" s="42">
        <f t="shared" si="41"/>
        <v>0</v>
      </c>
      <c r="O178" s="42">
        <f t="shared" si="41"/>
        <v>0</v>
      </c>
      <c r="P178" s="42">
        <f t="shared" si="41"/>
        <v>0</v>
      </c>
      <c r="Q178" s="42">
        <f t="shared" si="41"/>
        <v>0</v>
      </c>
      <c r="S178" s="20" t="str">
        <f>Loomakasvatus!B34</f>
        <v>Kasutatud soojusenergia liik 3</v>
      </c>
      <c r="T178">
        <f>Loomakasvatus!C34</f>
        <v>0</v>
      </c>
      <c r="U178">
        <f>Loomakasvatus!D34</f>
        <v>0</v>
      </c>
      <c r="V178">
        <f>IFERROR(VLOOKUP(T178,EFid!$A$3:$D$31,2,FALSE),0)</f>
        <v>0</v>
      </c>
      <c r="W178">
        <f t="shared" si="38"/>
        <v>0</v>
      </c>
      <c r="X178" s="21"/>
      <c r="Z178" s="115" t="s">
        <v>829</v>
      </c>
      <c r="AA178" s="31" t="s">
        <v>830</v>
      </c>
      <c r="AC178" s="815" t="e">
        <f>AC179*AC180/1000</f>
        <v>#REF!</v>
      </c>
      <c r="AD178" t="s">
        <v>135</v>
      </c>
      <c r="AE178" s="42">
        <f>AE179*AE180/1000</f>
        <v>0</v>
      </c>
      <c r="AF178" s="42">
        <f t="shared" ref="AF178:AP178" si="42">AF179*AF180/1000</f>
        <v>0</v>
      </c>
      <c r="AG178" s="42">
        <f t="shared" si="42"/>
        <v>0</v>
      </c>
      <c r="AH178" s="42">
        <f t="shared" si="42"/>
        <v>0</v>
      </c>
      <c r="AI178" s="42">
        <f t="shared" si="42"/>
        <v>0</v>
      </c>
      <c r="AJ178" s="42">
        <f t="shared" si="42"/>
        <v>0</v>
      </c>
      <c r="AK178" s="42">
        <f t="shared" si="42"/>
        <v>0</v>
      </c>
      <c r="AL178" s="42">
        <f t="shared" si="42"/>
        <v>0</v>
      </c>
      <c r="AM178" s="42">
        <f t="shared" si="42"/>
        <v>0</v>
      </c>
      <c r="AN178" s="42">
        <f t="shared" si="42"/>
        <v>0</v>
      </c>
      <c r="AO178" s="42">
        <f t="shared" si="42"/>
        <v>0</v>
      </c>
      <c r="AP178" s="42">
        <f t="shared" si="42"/>
        <v>0</v>
      </c>
      <c r="AR178" s="20" t="str">
        <f>Loomakasvatus!R34</f>
        <v>Kasutatud soojusenergia liik 3</v>
      </c>
      <c r="AS178">
        <f>Loomakasvatus!S34</f>
        <v>0</v>
      </c>
      <c r="AT178">
        <f>Loomakasvatus!T34</f>
        <v>0</v>
      </c>
      <c r="AU178">
        <f>IFERROR(VLOOKUP(AS178,EFid!$A$3:$D$31,2,FALSE),0)</f>
        <v>0</v>
      </c>
      <c r="AV178">
        <f t="shared" si="39"/>
        <v>0</v>
      </c>
      <c r="AW178" s="21"/>
      <c r="AY178" s="115" t="s">
        <v>829</v>
      </c>
      <c r="AZ178" s="31" t="s">
        <v>830</v>
      </c>
      <c r="BB178" s="815" t="e">
        <f>BB179*BB180/1000</f>
        <v>#REF!</v>
      </c>
      <c r="BC178" t="s">
        <v>135</v>
      </c>
      <c r="BD178" s="42">
        <f>BD179*BD180/1000</f>
        <v>0</v>
      </c>
      <c r="BE178" s="42">
        <f t="shared" ref="BE178:BO178" si="43">BE179*BE180/1000</f>
        <v>0</v>
      </c>
      <c r="BF178" s="42">
        <f t="shared" si="43"/>
        <v>0</v>
      </c>
      <c r="BG178" s="42">
        <f t="shared" si="43"/>
        <v>0</v>
      </c>
      <c r="BH178" s="42">
        <f t="shared" si="43"/>
        <v>0</v>
      </c>
      <c r="BI178" s="42">
        <f t="shared" si="43"/>
        <v>0</v>
      </c>
      <c r="BJ178" s="42">
        <f t="shared" si="43"/>
        <v>0</v>
      </c>
      <c r="BK178" s="42">
        <f t="shared" si="43"/>
        <v>0</v>
      </c>
      <c r="BL178" s="42">
        <f t="shared" si="43"/>
        <v>0</v>
      </c>
      <c r="BM178" s="42">
        <f t="shared" si="43"/>
        <v>0</v>
      </c>
      <c r="BN178" s="42">
        <f t="shared" si="43"/>
        <v>0</v>
      </c>
      <c r="BO178" s="42">
        <f t="shared" si="43"/>
        <v>0</v>
      </c>
      <c r="BQ178" s="20" t="str">
        <f>Loomakasvatus!AH34</f>
        <v>Kasutatud soojusenergia liik 3</v>
      </c>
      <c r="BR178">
        <f>Loomakasvatus!AI34</f>
        <v>0</v>
      </c>
      <c r="BS178">
        <f>Loomakasvatus!AJ34</f>
        <v>0</v>
      </c>
      <c r="BT178">
        <f>IFERROR(VLOOKUP(BR178,EFid!$A$3:$D$31,2,FALSE),0)</f>
        <v>0</v>
      </c>
      <c r="BU178">
        <f t="shared" si="40"/>
        <v>0</v>
      </c>
      <c r="BV178" s="21"/>
    </row>
    <row r="179" spans="1:74">
      <c r="A179" s="115" t="s">
        <v>831</v>
      </c>
      <c r="B179" s="31" t="s">
        <v>832</v>
      </c>
      <c r="C179" s="33"/>
      <c r="D179" s="816" t="e">
        <f>Loomakasvatus!#REF!</f>
        <v>#REF!</v>
      </c>
      <c r="E179" t="s">
        <v>736</v>
      </c>
      <c r="F179" s="811">
        <f>Loomakasvatus!C25</f>
        <v>0</v>
      </c>
      <c r="G179" s="811">
        <f>Loomakasvatus!D25</f>
        <v>0</v>
      </c>
      <c r="H179" s="811">
        <f>Loomakasvatus!E25</f>
        <v>0</v>
      </c>
      <c r="I179" s="811">
        <f>Loomakasvatus!F25</f>
        <v>0</v>
      </c>
      <c r="J179" s="811">
        <f>Loomakasvatus!G25</f>
        <v>0</v>
      </c>
      <c r="K179" s="811">
        <f>Loomakasvatus!H25</f>
        <v>0</v>
      </c>
      <c r="L179" s="811">
        <f>Loomakasvatus!I25</f>
        <v>0</v>
      </c>
      <c r="M179" s="811">
        <f>Loomakasvatus!J25</f>
        <v>0</v>
      </c>
      <c r="N179" s="811">
        <f>Loomakasvatus!K25</f>
        <v>0</v>
      </c>
      <c r="O179" s="811">
        <f>Loomakasvatus!L25</f>
        <v>0</v>
      </c>
      <c r="P179" s="811">
        <f>Loomakasvatus!M25</f>
        <v>0</v>
      </c>
      <c r="Q179" s="811">
        <f>Loomakasvatus!N25</f>
        <v>0</v>
      </c>
      <c r="S179" s="20" t="str">
        <f>Loomakasvatus!B35</f>
        <v>Kasutatud elektrienergia liik 1</v>
      </c>
      <c r="T179">
        <f>Loomakasvatus!C35</f>
        <v>0</v>
      </c>
      <c r="U179">
        <f>Loomakasvatus!D35</f>
        <v>0</v>
      </c>
      <c r="V179">
        <f>IFERROR(VLOOKUP(T179,EFid!$A$3:$D$31,2,FALSE),0)</f>
        <v>0</v>
      </c>
      <c r="W179">
        <f t="shared" si="38"/>
        <v>0</v>
      </c>
      <c r="X179" s="445">
        <f>SUM(W179:W180)</f>
        <v>0</v>
      </c>
      <c r="Z179" s="115" t="s">
        <v>831</v>
      </c>
      <c r="AA179" s="31" t="s">
        <v>832</v>
      </c>
      <c r="AB179" s="33"/>
      <c r="AC179" s="816" t="e">
        <f>Loomakasvatus!#REF!</f>
        <v>#REF!</v>
      </c>
      <c r="AD179" t="s">
        <v>736</v>
      </c>
      <c r="AE179" s="811">
        <f>Loomakasvatus!S25</f>
        <v>0</v>
      </c>
      <c r="AF179" s="811">
        <f>Loomakasvatus!T25</f>
        <v>0</v>
      </c>
      <c r="AG179" s="811">
        <f>Loomakasvatus!U25</f>
        <v>0</v>
      </c>
      <c r="AH179" s="811">
        <f>Loomakasvatus!V25</f>
        <v>0</v>
      </c>
      <c r="AI179" s="811">
        <f>Loomakasvatus!W25</f>
        <v>0</v>
      </c>
      <c r="AJ179" s="811">
        <f>Loomakasvatus!X25</f>
        <v>0</v>
      </c>
      <c r="AK179" s="811">
        <f>Loomakasvatus!Y25</f>
        <v>0</v>
      </c>
      <c r="AL179" s="811">
        <f>Loomakasvatus!Z25</f>
        <v>0</v>
      </c>
      <c r="AM179" s="811">
        <f>Loomakasvatus!AA25</f>
        <v>0</v>
      </c>
      <c r="AN179" s="811">
        <f>Loomakasvatus!AB25</f>
        <v>0</v>
      </c>
      <c r="AO179" s="811">
        <f>Loomakasvatus!AC25</f>
        <v>0</v>
      </c>
      <c r="AP179" s="811">
        <f>Loomakasvatus!AD25</f>
        <v>0</v>
      </c>
      <c r="AR179" s="20" t="str">
        <f>Loomakasvatus!R35</f>
        <v>Kasutatud elektrienergia liik 1</v>
      </c>
      <c r="AS179">
        <f>Loomakasvatus!S35</f>
        <v>0</v>
      </c>
      <c r="AT179">
        <f>Loomakasvatus!T35</f>
        <v>0</v>
      </c>
      <c r="AU179">
        <f>IFERROR(VLOOKUP(AS179,EFid!$A$3:$D$31,2,FALSE),0)</f>
        <v>0</v>
      </c>
      <c r="AV179">
        <f t="shared" si="39"/>
        <v>0</v>
      </c>
      <c r="AW179" s="445">
        <f>SUM(AV179:AV180)</f>
        <v>0</v>
      </c>
      <c r="AY179" s="115" t="s">
        <v>831</v>
      </c>
      <c r="AZ179" s="31" t="s">
        <v>832</v>
      </c>
      <c r="BA179" s="33"/>
      <c r="BB179" s="816" t="e">
        <f>Loomakasvatus!#REF!</f>
        <v>#REF!</v>
      </c>
      <c r="BC179" t="s">
        <v>736</v>
      </c>
      <c r="BD179" s="811">
        <f>Loomakasvatus!AI25</f>
        <v>0</v>
      </c>
      <c r="BE179" s="811">
        <f>Loomakasvatus!AJ25</f>
        <v>0</v>
      </c>
      <c r="BF179" s="811">
        <f>Loomakasvatus!AK25</f>
        <v>0</v>
      </c>
      <c r="BG179" s="811">
        <f>Loomakasvatus!AL25</f>
        <v>0</v>
      </c>
      <c r="BH179" s="811">
        <f>Loomakasvatus!AM25</f>
        <v>0</v>
      </c>
      <c r="BI179" s="811">
        <f>Loomakasvatus!AN25</f>
        <v>0</v>
      </c>
      <c r="BJ179" s="811">
        <f>Loomakasvatus!AO25</f>
        <v>0</v>
      </c>
      <c r="BK179" s="811">
        <f>Loomakasvatus!AP25</f>
        <v>0</v>
      </c>
      <c r="BL179" s="811">
        <f>Loomakasvatus!AQ25</f>
        <v>0</v>
      </c>
      <c r="BM179" s="811">
        <f>Loomakasvatus!AR25</f>
        <v>0</v>
      </c>
      <c r="BN179" s="811">
        <f>Loomakasvatus!AS25</f>
        <v>0</v>
      </c>
      <c r="BO179" s="811">
        <f>Loomakasvatus!AT25</f>
        <v>0</v>
      </c>
      <c r="BQ179" s="20" t="str">
        <f>Loomakasvatus!AH35</f>
        <v>Kasutatud elektrienergia liik 1</v>
      </c>
      <c r="BR179">
        <f>Loomakasvatus!AI35</f>
        <v>0</v>
      </c>
      <c r="BS179">
        <f>Loomakasvatus!AJ35</f>
        <v>0</v>
      </c>
      <c r="BT179">
        <f>IFERROR(VLOOKUP(BR179,EFid!$A$3:$D$31,2,FALSE),0)</f>
        <v>0</v>
      </c>
      <c r="BU179">
        <f t="shared" si="40"/>
        <v>0</v>
      </c>
      <c r="BV179" s="445">
        <f>SUM(BU179:BU180)</f>
        <v>0</v>
      </c>
    </row>
    <row r="180" spans="1:74">
      <c r="A180" s="342" t="s">
        <v>833</v>
      </c>
      <c r="B180" s="343" t="s">
        <v>834</v>
      </c>
      <c r="C180" s="49"/>
      <c r="D180" s="42">
        <f>SUM(F180:Q180)</f>
        <v>0</v>
      </c>
      <c r="E180" t="s">
        <v>135</v>
      </c>
      <c r="F180" s="811">
        <f>Loomakasvatus!C24</f>
        <v>0</v>
      </c>
      <c r="G180" s="811">
        <f>Loomakasvatus!D24</f>
        <v>0</v>
      </c>
      <c r="H180" s="811">
        <f>Loomakasvatus!E24</f>
        <v>0</v>
      </c>
      <c r="I180" s="811">
        <f>Loomakasvatus!F24</f>
        <v>0</v>
      </c>
      <c r="J180" s="811">
        <f>Loomakasvatus!G24</f>
        <v>0</v>
      </c>
      <c r="K180" s="811">
        <f>Loomakasvatus!H24</f>
        <v>0</v>
      </c>
      <c r="L180" s="811">
        <f>Loomakasvatus!I24</f>
        <v>0</v>
      </c>
      <c r="M180" s="811">
        <f>Loomakasvatus!J24</f>
        <v>0</v>
      </c>
      <c r="N180" s="811">
        <f>Loomakasvatus!K24</f>
        <v>0</v>
      </c>
      <c r="O180" s="811">
        <f>Loomakasvatus!L24</f>
        <v>0</v>
      </c>
      <c r="P180" s="811">
        <f>Loomakasvatus!M24</f>
        <v>0</v>
      </c>
      <c r="Q180" s="811">
        <f>Loomakasvatus!N24</f>
        <v>0</v>
      </c>
      <c r="S180" s="20" t="str">
        <f>Loomakasvatus!B36</f>
        <v>Kasutatud elektrienergia liik 2</v>
      </c>
      <c r="T180">
        <f>Loomakasvatus!C36</f>
        <v>0</v>
      </c>
      <c r="U180">
        <f>Loomakasvatus!D36</f>
        <v>0</v>
      </c>
      <c r="V180">
        <f>IFERROR(VLOOKUP(T180,EFid!$A$3:$D$31,2,FALSE),0)</f>
        <v>0</v>
      </c>
      <c r="W180">
        <f t="shared" si="38"/>
        <v>0</v>
      </c>
      <c r="X180" s="21"/>
      <c r="Z180" s="342" t="s">
        <v>833</v>
      </c>
      <c r="AA180" s="343" t="s">
        <v>834</v>
      </c>
      <c r="AB180" s="49"/>
      <c r="AC180" s="42">
        <f>SUM(AE180:AP180)</f>
        <v>0</v>
      </c>
      <c r="AD180" t="s">
        <v>135</v>
      </c>
      <c r="AE180" s="811">
        <f>Loomakasvatus!S24</f>
        <v>0</v>
      </c>
      <c r="AF180" s="811">
        <f>Loomakasvatus!T24</f>
        <v>0</v>
      </c>
      <c r="AG180" s="811">
        <f>Loomakasvatus!U24</f>
        <v>0</v>
      </c>
      <c r="AH180" s="811">
        <f>Loomakasvatus!V24</f>
        <v>0</v>
      </c>
      <c r="AI180" s="811">
        <f>Loomakasvatus!W24</f>
        <v>0</v>
      </c>
      <c r="AJ180" s="811">
        <f>Loomakasvatus!X24</f>
        <v>0</v>
      </c>
      <c r="AK180" s="811">
        <f>Loomakasvatus!Y24</f>
        <v>0</v>
      </c>
      <c r="AL180" s="811">
        <f>Loomakasvatus!Z24</f>
        <v>0</v>
      </c>
      <c r="AM180" s="811">
        <f>Loomakasvatus!AA24</f>
        <v>0</v>
      </c>
      <c r="AN180" s="811">
        <f>Loomakasvatus!AB24</f>
        <v>0</v>
      </c>
      <c r="AO180" s="811">
        <f>Loomakasvatus!AC24</f>
        <v>0</v>
      </c>
      <c r="AP180" s="811">
        <f>Loomakasvatus!AD24</f>
        <v>0</v>
      </c>
      <c r="AR180" s="20" t="str">
        <f>Loomakasvatus!R36</f>
        <v>Kasutatud elektrienergia liik 2</v>
      </c>
      <c r="AS180">
        <f>Loomakasvatus!S36</f>
        <v>0</v>
      </c>
      <c r="AT180">
        <f>Loomakasvatus!T36</f>
        <v>0</v>
      </c>
      <c r="AU180">
        <f>IFERROR(VLOOKUP(AS180,EFid!$A$3:$D$31,2,FALSE),0)</f>
        <v>0</v>
      </c>
      <c r="AV180">
        <f t="shared" si="39"/>
        <v>0</v>
      </c>
      <c r="AW180" s="21"/>
      <c r="AY180" s="342" t="s">
        <v>833</v>
      </c>
      <c r="AZ180" s="343" t="s">
        <v>834</v>
      </c>
      <c r="BA180" s="49"/>
      <c r="BB180" s="42">
        <f>SUM(BD180:BO180)</f>
        <v>0</v>
      </c>
      <c r="BC180" t="s">
        <v>135</v>
      </c>
      <c r="BD180" s="811">
        <f>Loomakasvatus!AI24</f>
        <v>0</v>
      </c>
      <c r="BE180" s="811">
        <f>Loomakasvatus!AJ24</f>
        <v>0</v>
      </c>
      <c r="BF180" s="811">
        <f>Loomakasvatus!AK24</f>
        <v>0</v>
      </c>
      <c r="BG180" s="811">
        <f>Loomakasvatus!AL24</f>
        <v>0</v>
      </c>
      <c r="BH180" s="811">
        <f>Loomakasvatus!AM24</f>
        <v>0</v>
      </c>
      <c r="BI180" s="811">
        <f>Loomakasvatus!AN24</f>
        <v>0</v>
      </c>
      <c r="BJ180" s="811">
        <f>Loomakasvatus!AO24</f>
        <v>0</v>
      </c>
      <c r="BK180" s="811">
        <f>Loomakasvatus!AP24</f>
        <v>0</v>
      </c>
      <c r="BL180" s="811">
        <f>Loomakasvatus!AQ24</f>
        <v>0</v>
      </c>
      <c r="BM180" s="811">
        <f>Loomakasvatus!AR24</f>
        <v>0</v>
      </c>
      <c r="BN180" s="811">
        <f>Loomakasvatus!AS24</f>
        <v>0</v>
      </c>
      <c r="BO180" s="811">
        <f>Loomakasvatus!AT24</f>
        <v>0</v>
      </c>
      <c r="BQ180" s="20" t="str">
        <f>Loomakasvatus!AH36</f>
        <v>Kasutatud elektrienergia liik 2</v>
      </c>
      <c r="BR180">
        <f>Loomakasvatus!AI36</f>
        <v>0</v>
      </c>
      <c r="BS180">
        <f>Loomakasvatus!AJ36</f>
        <v>0</v>
      </c>
      <c r="BT180">
        <f>IFERROR(VLOOKUP(BR180,EFid!$A$3:$D$31,2,FALSE),0)</f>
        <v>0</v>
      </c>
      <c r="BU180">
        <f t="shared" si="40"/>
        <v>0</v>
      </c>
      <c r="BV180" s="21"/>
    </row>
    <row r="181" spans="1:74">
      <c r="A181" s="193" t="s">
        <v>835</v>
      </c>
      <c r="B181" s="178"/>
      <c r="C181" s="178"/>
      <c r="D181" s="194"/>
      <c r="S181" s="80" t="s">
        <v>534</v>
      </c>
      <c r="W181">
        <f t="shared" si="38"/>
        <v>0</v>
      </c>
      <c r="X181" s="445">
        <f>SUM(W182:W194)*1000+SUM(W206:W218)+SUM(W221:W224)</f>
        <v>0</v>
      </c>
      <c r="Z181" s="193" t="s">
        <v>835</v>
      </c>
      <c r="AA181" s="178"/>
      <c r="AB181" s="178"/>
      <c r="AC181" s="194"/>
      <c r="AR181" s="80" t="s">
        <v>534</v>
      </c>
      <c r="AV181">
        <f t="shared" si="39"/>
        <v>0</v>
      </c>
      <c r="AW181" s="445">
        <f>SUM(AV182:AV194)*1000+SUM(AV206:AV218)+SUM(AV220:AV223)</f>
        <v>0</v>
      </c>
      <c r="AY181" s="193" t="s">
        <v>835</v>
      </c>
      <c r="AZ181" s="178"/>
      <c r="BA181" s="178"/>
      <c r="BB181" s="194"/>
      <c r="BQ181" s="80" t="s">
        <v>534</v>
      </c>
      <c r="BU181">
        <f t="shared" si="40"/>
        <v>0</v>
      </c>
      <c r="BV181" s="445">
        <f>SUM(BU182:BU194)*1000+SUM(BU206:BU218)+SUM(BU220:BU223)</f>
        <v>0</v>
      </c>
    </row>
    <row r="182" spans="1:74">
      <c r="A182" s="188" t="s">
        <v>836</v>
      </c>
      <c r="B182" s="189"/>
      <c r="C182" s="189"/>
      <c r="D182" s="190"/>
      <c r="S182" s="20">
        <f>Loomakasvatus!B42</f>
        <v>0</v>
      </c>
      <c r="T182">
        <f>Loomakasvatus!C42</f>
        <v>0</v>
      </c>
      <c r="U182">
        <f>Loomakasvatus!D42/1000</f>
        <v>0</v>
      </c>
      <c r="V182" t="e">
        <f>INDEX('M1 - LK'!$A$301:$AC$369,MATCH(Loomakasvatus!C42,'M1 - LK'!$A$301:$A$369,0),MATCH(Loomakasvatus!B42,'M1 - LK'!$A$301:$AC$301,0))</f>
        <v>#N/A</v>
      </c>
      <c r="W182">
        <f t="shared" ref="W182:W195" si="44">IFERROR(V182*U182,0)</f>
        <v>0</v>
      </c>
      <c r="X182" s="21"/>
      <c r="Z182" s="188" t="s">
        <v>836</v>
      </c>
      <c r="AA182" s="189"/>
      <c r="AB182" s="189"/>
      <c r="AC182" s="190"/>
      <c r="AR182" s="20">
        <f>Loomakasvatus!R42</f>
        <v>0</v>
      </c>
      <c r="AS182">
        <f>Loomakasvatus!S42</f>
        <v>0</v>
      </c>
      <c r="AT182">
        <f>Loomakasvatus!T42/1000</f>
        <v>0</v>
      </c>
      <c r="AU182" t="e">
        <f>INDEX('M1 - LK'!$A$301:$AC$369,MATCH(Loomakasvatus!S42,'M1 - LK'!$A$301:$A$369,0),MATCH(Loomakasvatus!R42,'M1 - LK'!$A$301:$AC$301,0))</f>
        <v>#N/A</v>
      </c>
      <c r="AV182">
        <f t="shared" ref="AV182:AV195" si="45">IFERROR(AU182*AT182,0)</f>
        <v>0</v>
      </c>
      <c r="AW182" s="21"/>
      <c r="AY182" s="188" t="s">
        <v>836</v>
      </c>
      <c r="AZ182" s="189"/>
      <c r="BA182" s="189"/>
      <c r="BB182" s="190"/>
      <c r="BQ182" s="20">
        <f>Loomakasvatus!AH42</f>
        <v>0</v>
      </c>
      <c r="BR182">
        <f>Loomakasvatus!AI42</f>
        <v>0</v>
      </c>
      <c r="BS182">
        <f>Loomakasvatus!AJ42/1000</f>
        <v>0</v>
      </c>
      <c r="BT182" t="e">
        <f>INDEX('M1 - LK'!$A$301:$AC$369,MATCH(Loomakasvatus!AI42,'M1 - LK'!$A$301:$A$369,0),MATCH(Loomakasvatus!AH42,'M1 - LK'!$A$301:$AC$301,0))</f>
        <v>#N/A</v>
      </c>
      <c r="BU182">
        <f t="shared" ref="BU182:BU195" si="46">IFERROR(BT182*BS182,0)</f>
        <v>0</v>
      </c>
      <c r="BV182" s="21"/>
    </row>
    <row r="183" spans="1:74">
      <c r="A183" s="115" t="s">
        <v>837</v>
      </c>
      <c r="B183" s="31" t="s">
        <v>838</v>
      </c>
      <c r="D183" s="815" t="e">
        <f>D184*D185/1000</f>
        <v>#REF!</v>
      </c>
      <c r="E183" t="s">
        <v>135</v>
      </c>
      <c r="F183" s="42">
        <f>F184*F185/1000</f>
        <v>0</v>
      </c>
      <c r="G183" s="42">
        <f t="shared" ref="G183:Q183" si="47">G184*G185/1000</f>
        <v>0</v>
      </c>
      <c r="H183" s="42">
        <f t="shared" si="47"/>
        <v>0</v>
      </c>
      <c r="I183" s="42">
        <f t="shared" si="47"/>
        <v>0</v>
      </c>
      <c r="J183" s="42">
        <f t="shared" si="47"/>
        <v>0</v>
      </c>
      <c r="K183" s="42">
        <f t="shared" si="47"/>
        <v>0</v>
      </c>
      <c r="L183" s="42">
        <f t="shared" si="47"/>
        <v>0</v>
      </c>
      <c r="M183" s="42">
        <f t="shared" si="47"/>
        <v>0</v>
      </c>
      <c r="N183" s="42">
        <f t="shared" si="47"/>
        <v>0</v>
      </c>
      <c r="O183" s="42">
        <f t="shared" si="47"/>
        <v>0</v>
      </c>
      <c r="P183" s="42">
        <f t="shared" si="47"/>
        <v>0</v>
      </c>
      <c r="Q183" s="42">
        <f t="shared" si="47"/>
        <v>0</v>
      </c>
      <c r="S183" s="20">
        <f>Loomakasvatus!B43</f>
        <v>0</v>
      </c>
      <c r="T183">
        <f>Loomakasvatus!C43</f>
        <v>0</v>
      </c>
      <c r="U183">
        <f>Loomakasvatus!D43/1000</f>
        <v>0</v>
      </c>
      <c r="V183" t="e">
        <f>INDEX('M1 - LK'!$A$301:$AC$369,MATCH(Loomakasvatus!C43,'M1 - LK'!$A$301:$A$369,0),MATCH(Loomakasvatus!B43,'M1 - LK'!$A$301:$AC$301,0))</f>
        <v>#N/A</v>
      </c>
      <c r="W183">
        <f t="shared" si="44"/>
        <v>0</v>
      </c>
      <c r="X183" s="21"/>
      <c r="Z183" s="115" t="s">
        <v>837</v>
      </c>
      <c r="AA183" s="31" t="s">
        <v>838</v>
      </c>
      <c r="AC183" s="815" t="e">
        <f>AC184*AC185/1000</f>
        <v>#REF!</v>
      </c>
      <c r="AD183" t="s">
        <v>135</v>
      </c>
      <c r="AE183" s="42">
        <f>AE184*AE185/1000</f>
        <v>0</v>
      </c>
      <c r="AF183" s="42">
        <f t="shared" ref="AF183:AP183" si="48">AF184*AF185/1000</f>
        <v>0</v>
      </c>
      <c r="AG183" s="42">
        <f t="shared" si="48"/>
        <v>0</v>
      </c>
      <c r="AH183" s="42">
        <f t="shared" si="48"/>
        <v>0</v>
      </c>
      <c r="AI183" s="42">
        <f t="shared" si="48"/>
        <v>0</v>
      </c>
      <c r="AJ183" s="42">
        <f t="shared" si="48"/>
        <v>0</v>
      </c>
      <c r="AK183" s="42">
        <f t="shared" si="48"/>
        <v>0</v>
      </c>
      <c r="AL183" s="42">
        <f t="shared" si="48"/>
        <v>0</v>
      </c>
      <c r="AM183" s="42">
        <f t="shared" si="48"/>
        <v>0</v>
      </c>
      <c r="AN183" s="42">
        <f t="shared" si="48"/>
        <v>0</v>
      </c>
      <c r="AO183" s="42">
        <f t="shared" si="48"/>
        <v>0</v>
      </c>
      <c r="AP183" s="42">
        <f t="shared" si="48"/>
        <v>0</v>
      </c>
      <c r="AR183" s="20">
        <f>Loomakasvatus!R43</f>
        <v>0</v>
      </c>
      <c r="AS183">
        <f>Loomakasvatus!S43</f>
        <v>0</v>
      </c>
      <c r="AT183">
        <f>Loomakasvatus!T43/1000</f>
        <v>0</v>
      </c>
      <c r="AU183" t="e">
        <f>INDEX('M1 - LK'!$A$301:$AC$369,MATCH(Loomakasvatus!S43,'M1 - LK'!$A$301:$A$369,0),MATCH(Loomakasvatus!R43,'M1 - LK'!$A$301:$AC$301,0))</f>
        <v>#N/A</v>
      </c>
      <c r="AV183">
        <f t="shared" si="45"/>
        <v>0</v>
      </c>
      <c r="AW183" s="21"/>
      <c r="AY183" s="115" t="s">
        <v>837</v>
      </c>
      <c r="AZ183" s="31" t="s">
        <v>838</v>
      </c>
      <c r="BB183" s="815" t="e">
        <f>BB184*BB185/1000</f>
        <v>#REF!</v>
      </c>
      <c r="BC183" t="s">
        <v>135</v>
      </c>
      <c r="BD183" s="42">
        <f>BD184*BD185/1000</f>
        <v>0</v>
      </c>
      <c r="BE183" s="42">
        <f t="shared" ref="BE183:BO183" si="49">BE184*BE185/1000</f>
        <v>0</v>
      </c>
      <c r="BF183" s="42">
        <f t="shared" si="49"/>
        <v>0</v>
      </c>
      <c r="BG183" s="42">
        <f t="shared" si="49"/>
        <v>0</v>
      </c>
      <c r="BH183" s="42">
        <f t="shared" si="49"/>
        <v>0</v>
      </c>
      <c r="BI183" s="42">
        <f t="shared" si="49"/>
        <v>0</v>
      </c>
      <c r="BJ183" s="42">
        <f t="shared" si="49"/>
        <v>0</v>
      </c>
      <c r="BK183" s="42">
        <f t="shared" si="49"/>
        <v>0</v>
      </c>
      <c r="BL183" s="42">
        <f t="shared" si="49"/>
        <v>0</v>
      </c>
      <c r="BM183" s="42">
        <f t="shared" si="49"/>
        <v>0</v>
      </c>
      <c r="BN183" s="42">
        <f t="shared" si="49"/>
        <v>0</v>
      </c>
      <c r="BO183" s="42">
        <f t="shared" si="49"/>
        <v>0</v>
      </c>
      <c r="BQ183" s="20">
        <f>Loomakasvatus!AH43</f>
        <v>0</v>
      </c>
      <c r="BR183">
        <f>Loomakasvatus!AI43</f>
        <v>0</v>
      </c>
      <c r="BS183">
        <f>Loomakasvatus!AJ43/1000</f>
        <v>0</v>
      </c>
      <c r="BT183" t="e">
        <f>INDEX('M1 - LK'!$A$301:$AC$369,MATCH(Loomakasvatus!AI43,'M1 - LK'!$A$301:$A$369,0),MATCH(Loomakasvatus!AH43,'M1 - LK'!$A$301:$AC$301,0))</f>
        <v>#N/A</v>
      </c>
      <c r="BU183">
        <f t="shared" si="46"/>
        <v>0</v>
      </c>
      <c r="BV183" s="21"/>
    </row>
    <row r="184" spans="1:74">
      <c r="A184" s="344" t="s">
        <v>839</v>
      </c>
      <c r="B184" s="31" t="s">
        <v>840</v>
      </c>
      <c r="D184" s="815"/>
      <c r="E184" t="s">
        <v>736</v>
      </c>
      <c r="F184" s="811">
        <f>'M1 - LK'!$U$173</f>
        <v>25.6</v>
      </c>
      <c r="G184" s="811">
        <f>'M1 - LK'!$U$173</f>
        <v>25.6</v>
      </c>
      <c r="H184" s="811">
        <f>'M1 - LK'!$U$173</f>
        <v>25.6</v>
      </c>
      <c r="I184" s="811">
        <f>'M1 - LK'!$U$173</f>
        <v>25.6</v>
      </c>
      <c r="J184" s="811">
        <f>'M1 - LK'!$U$173</f>
        <v>25.6</v>
      </c>
      <c r="K184" s="811">
        <f>'M1 - LK'!$U$173</f>
        <v>25.6</v>
      </c>
      <c r="L184" s="811">
        <f>'M1 - LK'!$U$173</f>
        <v>25.6</v>
      </c>
      <c r="M184" s="811"/>
      <c r="N184" s="811">
        <f>'M1 - LK'!$U$174</f>
        <v>21.2</v>
      </c>
      <c r="O184" s="811">
        <f>'M1 - LK'!$U$174</f>
        <v>21.2</v>
      </c>
      <c r="P184" s="811">
        <f>'M1 - LK'!$U$175</f>
        <v>28.5</v>
      </c>
      <c r="Q184" s="811">
        <f>'M1 - LK'!$U$175</f>
        <v>28.5</v>
      </c>
      <c r="S184" s="20">
        <f>Loomakasvatus!B44</f>
        <v>0</v>
      </c>
      <c r="T184">
        <f>Loomakasvatus!C44</f>
        <v>0</v>
      </c>
      <c r="U184">
        <f>Loomakasvatus!D44/1000</f>
        <v>0</v>
      </c>
      <c r="V184" t="e">
        <f>INDEX('M1 - LK'!$A$301:$AC$369,MATCH(Loomakasvatus!C44,'M1 - LK'!$A$301:$A$369,0),MATCH(Loomakasvatus!B44,'M1 - LK'!$A$301:$AC$301,0))</f>
        <v>#N/A</v>
      </c>
      <c r="W184">
        <f t="shared" si="44"/>
        <v>0</v>
      </c>
      <c r="X184" s="21"/>
      <c r="Z184" s="344" t="s">
        <v>839</v>
      </c>
      <c r="AA184" s="31" t="s">
        <v>840</v>
      </c>
      <c r="AC184" s="815"/>
      <c r="AD184" t="s">
        <v>736</v>
      </c>
      <c r="AE184" s="811">
        <f>'M1 - LK'!$U$173</f>
        <v>25.6</v>
      </c>
      <c r="AF184" s="811">
        <f>'M1 - LK'!$U$173</f>
        <v>25.6</v>
      </c>
      <c r="AG184" s="811">
        <f>'M1 - LK'!$U$173</f>
        <v>25.6</v>
      </c>
      <c r="AH184" s="811">
        <f>'M1 - LK'!$U$173</f>
        <v>25.6</v>
      </c>
      <c r="AI184" s="811">
        <f>'M1 - LK'!$U$173</f>
        <v>25.6</v>
      </c>
      <c r="AJ184" s="811">
        <f>'M1 - LK'!$U$173</f>
        <v>25.6</v>
      </c>
      <c r="AK184" s="811">
        <f>'M1 - LK'!$U$173</f>
        <v>25.6</v>
      </c>
      <c r="AL184" s="811"/>
      <c r="AM184" s="811">
        <f>'M1 - LK'!$U$174</f>
        <v>21.2</v>
      </c>
      <c r="AN184" s="811">
        <f>'M1 - LK'!$U$174</f>
        <v>21.2</v>
      </c>
      <c r="AO184" s="811">
        <f>'M1 - LK'!$U$175</f>
        <v>28.5</v>
      </c>
      <c r="AP184" s="811">
        <f>'M1 - LK'!$U$175</f>
        <v>28.5</v>
      </c>
      <c r="AR184" s="20">
        <f>Loomakasvatus!R44</f>
        <v>0</v>
      </c>
      <c r="AS184">
        <f>Loomakasvatus!S44</f>
        <v>0</v>
      </c>
      <c r="AT184">
        <f>Loomakasvatus!T44/1000</f>
        <v>0</v>
      </c>
      <c r="AU184" t="e">
        <f>INDEX('M1 - LK'!$A$301:$AC$369,MATCH(Loomakasvatus!S44,'M1 - LK'!$A$301:$A$369,0),MATCH(Loomakasvatus!R44,'M1 - LK'!$A$301:$AC$301,0))</f>
        <v>#N/A</v>
      </c>
      <c r="AV184">
        <f t="shared" si="45"/>
        <v>0</v>
      </c>
      <c r="AW184" s="21"/>
      <c r="AY184" s="344" t="s">
        <v>839</v>
      </c>
      <c r="AZ184" s="31" t="s">
        <v>840</v>
      </c>
      <c r="BB184" s="815"/>
      <c r="BC184" t="s">
        <v>736</v>
      </c>
      <c r="BD184" s="811">
        <f>'M1 - LK'!$U$173</f>
        <v>25.6</v>
      </c>
      <c r="BE184" s="811">
        <f>'M1 - LK'!$U$173</f>
        <v>25.6</v>
      </c>
      <c r="BF184" s="811">
        <f>'M1 - LK'!$U$173</f>
        <v>25.6</v>
      </c>
      <c r="BG184" s="811">
        <f>'M1 - LK'!$U$173</f>
        <v>25.6</v>
      </c>
      <c r="BH184" s="811">
        <f>'M1 - LK'!$U$173</f>
        <v>25.6</v>
      </c>
      <c r="BI184" s="811">
        <f>'M1 - LK'!$U$173</f>
        <v>25.6</v>
      </c>
      <c r="BJ184" s="811">
        <f>'M1 - LK'!$U$173</f>
        <v>25.6</v>
      </c>
      <c r="BK184" s="811"/>
      <c r="BL184" s="811">
        <f>'M1 - LK'!$U$174</f>
        <v>21.2</v>
      </c>
      <c r="BM184" s="811">
        <f>'M1 - LK'!$U$174</f>
        <v>21.2</v>
      </c>
      <c r="BN184" s="811">
        <f>'M1 - LK'!$U$175</f>
        <v>28.5</v>
      </c>
      <c r="BO184" s="811">
        <f>'M1 - LK'!$U$175</f>
        <v>28.5</v>
      </c>
      <c r="BQ184" s="20">
        <f>Loomakasvatus!AH44</f>
        <v>0</v>
      </c>
      <c r="BR184">
        <f>Loomakasvatus!AI44</f>
        <v>0</v>
      </c>
      <c r="BS184">
        <f>Loomakasvatus!AJ44/1000</f>
        <v>0</v>
      </c>
      <c r="BT184" t="e">
        <f>INDEX('M1 - LK'!$A$301:$AC$369,MATCH(Loomakasvatus!AI44,'M1 - LK'!$A$301:$A$369,0),MATCH(Loomakasvatus!AH44,'M1 - LK'!$A$301:$AC$301,0))</f>
        <v>#N/A</v>
      </c>
      <c r="BU184">
        <f t="shared" si="46"/>
        <v>0</v>
      </c>
      <c r="BV184" s="21"/>
    </row>
    <row r="185" spans="1:74">
      <c r="A185" s="342" t="s">
        <v>748</v>
      </c>
      <c r="B185" s="343" t="s">
        <v>841</v>
      </c>
      <c r="C185" s="49"/>
      <c r="D185" s="817" t="e">
        <f>Loomakasvatus!#REF!</f>
        <v>#REF!</v>
      </c>
      <c r="E185" t="s">
        <v>135</v>
      </c>
      <c r="F185" s="811">
        <f>Loomakasvatus!C18</f>
        <v>0</v>
      </c>
      <c r="G185" s="811">
        <f>Loomakasvatus!D18</f>
        <v>0</v>
      </c>
      <c r="H185" s="811">
        <f>Loomakasvatus!E18</f>
        <v>0</v>
      </c>
      <c r="I185" s="811">
        <f>Loomakasvatus!F18</f>
        <v>0</v>
      </c>
      <c r="J185" s="811">
        <f>Loomakasvatus!G18</f>
        <v>0</v>
      </c>
      <c r="K185" s="811">
        <f>Loomakasvatus!H18</f>
        <v>0</v>
      </c>
      <c r="L185" s="811">
        <f>Loomakasvatus!I18</f>
        <v>0</v>
      </c>
      <c r="M185" s="811">
        <f>Loomakasvatus!J18</f>
        <v>0</v>
      </c>
      <c r="N185" s="811">
        <f>Loomakasvatus!K18</f>
        <v>0</v>
      </c>
      <c r="O185" s="811">
        <f>Loomakasvatus!L18</f>
        <v>0</v>
      </c>
      <c r="P185" s="811">
        <f>Loomakasvatus!M18</f>
        <v>0</v>
      </c>
      <c r="Q185" s="811">
        <f>Loomakasvatus!N18</f>
        <v>0</v>
      </c>
      <c r="S185" s="20">
        <f>Loomakasvatus!B45</f>
        <v>0</v>
      </c>
      <c r="T185">
        <f>Loomakasvatus!C45</f>
        <v>0</v>
      </c>
      <c r="U185">
        <f>Loomakasvatus!D45/1000</f>
        <v>0</v>
      </c>
      <c r="V185" t="e">
        <f>INDEX('M1 - LK'!$A$301:$AC$369,MATCH(Loomakasvatus!C45,'M1 - LK'!$A$301:$A$369,0),MATCH(Loomakasvatus!B45,'M1 - LK'!$A$301:$AC$301,0))</f>
        <v>#N/A</v>
      </c>
      <c r="W185">
        <f t="shared" si="44"/>
        <v>0</v>
      </c>
      <c r="X185" s="21"/>
      <c r="Z185" s="342" t="s">
        <v>748</v>
      </c>
      <c r="AA185" s="343" t="s">
        <v>841</v>
      </c>
      <c r="AB185" s="49"/>
      <c r="AC185" s="817" t="e">
        <f>Loomakasvatus!#REF!</f>
        <v>#REF!</v>
      </c>
      <c r="AD185" t="s">
        <v>135</v>
      </c>
      <c r="AE185" s="811">
        <f>Loomakasvatus!S18</f>
        <v>0</v>
      </c>
      <c r="AF185" s="811">
        <f>Loomakasvatus!T18</f>
        <v>0</v>
      </c>
      <c r="AG185" s="811">
        <f>Loomakasvatus!U18</f>
        <v>0</v>
      </c>
      <c r="AH185" s="811">
        <f>Loomakasvatus!V18</f>
        <v>0</v>
      </c>
      <c r="AI185" s="811">
        <f>Loomakasvatus!W18</f>
        <v>0</v>
      </c>
      <c r="AJ185" s="811">
        <f>Loomakasvatus!X18</f>
        <v>0</v>
      </c>
      <c r="AK185" s="811">
        <f>Loomakasvatus!Y18</f>
        <v>0</v>
      </c>
      <c r="AL185" s="811">
        <f>Loomakasvatus!Z18</f>
        <v>0</v>
      </c>
      <c r="AM185" s="811">
        <f>Loomakasvatus!AA18</f>
        <v>0</v>
      </c>
      <c r="AN185" s="811">
        <f>Loomakasvatus!AB18</f>
        <v>0</v>
      </c>
      <c r="AO185" s="811">
        <f>Loomakasvatus!AC18</f>
        <v>0</v>
      </c>
      <c r="AP185" s="811">
        <f>Loomakasvatus!AD18</f>
        <v>0</v>
      </c>
      <c r="AR185" s="20">
        <f>Loomakasvatus!R45</f>
        <v>0</v>
      </c>
      <c r="AS185">
        <f>Loomakasvatus!S45</f>
        <v>0</v>
      </c>
      <c r="AT185">
        <f>Loomakasvatus!T45/1000</f>
        <v>0</v>
      </c>
      <c r="AU185" t="e">
        <f>INDEX('M1 - LK'!$A$301:$AC$369,MATCH(Loomakasvatus!S45,'M1 - LK'!$A$301:$A$369,0),MATCH(Loomakasvatus!R45,'M1 - LK'!$A$301:$AC$301,0))</f>
        <v>#N/A</v>
      </c>
      <c r="AV185">
        <f t="shared" si="45"/>
        <v>0</v>
      </c>
      <c r="AW185" s="21"/>
      <c r="AY185" s="342" t="s">
        <v>748</v>
      </c>
      <c r="AZ185" s="343" t="s">
        <v>841</v>
      </c>
      <c r="BA185" s="49"/>
      <c r="BB185" s="817" t="e">
        <f>Loomakasvatus!#REF!</f>
        <v>#REF!</v>
      </c>
      <c r="BC185" t="s">
        <v>135</v>
      </c>
      <c r="BD185" s="811">
        <f>Loomakasvatus!AI18</f>
        <v>0</v>
      </c>
      <c r="BE185" s="811">
        <f>Loomakasvatus!AJ18</f>
        <v>0</v>
      </c>
      <c r="BF185" s="811">
        <f>Loomakasvatus!AK18</f>
        <v>0</v>
      </c>
      <c r="BG185" s="811">
        <f>Loomakasvatus!AL18</f>
        <v>0</v>
      </c>
      <c r="BH185" s="811">
        <f>Loomakasvatus!AM18</f>
        <v>0</v>
      </c>
      <c r="BI185" s="811">
        <f>Loomakasvatus!AN18</f>
        <v>0</v>
      </c>
      <c r="BJ185" s="811">
        <f>Loomakasvatus!AO18</f>
        <v>0</v>
      </c>
      <c r="BK185" s="811">
        <f>Loomakasvatus!AP18</f>
        <v>0</v>
      </c>
      <c r="BL185" s="811">
        <f>Loomakasvatus!AQ18</f>
        <v>0</v>
      </c>
      <c r="BM185" s="811">
        <f>Loomakasvatus!AR18</f>
        <v>0</v>
      </c>
      <c r="BN185" s="811">
        <f>Loomakasvatus!AS18</f>
        <v>0</v>
      </c>
      <c r="BO185" s="811">
        <f>Loomakasvatus!AT18</f>
        <v>0</v>
      </c>
      <c r="BQ185" s="20">
        <f>Loomakasvatus!AH45</f>
        <v>0</v>
      </c>
      <c r="BR185">
        <f>Loomakasvatus!AI45</f>
        <v>0</v>
      </c>
      <c r="BS185">
        <f>Loomakasvatus!AJ45/1000</f>
        <v>0</v>
      </c>
      <c r="BT185" t="e">
        <f>INDEX('M1 - LK'!$A$301:$AC$369,MATCH(Loomakasvatus!AI45,'M1 - LK'!$A$301:$A$369,0),MATCH(Loomakasvatus!AH45,'M1 - LK'!$A$301:$AC$301,0))</f>
        <v>#N/A</v>
      </c>
      <c r="BU185">
        <f t="shared" si="46"/>
        <v>0</v>
      </c>
      <c r="BV185" s="21"/>
    </row>
    <row r="186" spans="1:74">
      <c r="A186" s="193" t="s">
        <v>842</v>
      </c>
      <c r="B186" s="178"/>
      <c r="C186" s="178"/>
      <c r="D186" s="194"/>
      <c r="S186" s="20">
        <f>Loomakasvatus!B46</f>
        <v>0</v>
      </c>
      <c r="T186">
        <f>Loomakasvatus!C46</f>
        <v>0</v>
      </c>
      <c r="U186">
        <f>Loomakasvatus!D46/1000</f>
        <v>0</v>
      </c>
      <c r="V186" t="e">
        <f>INDEX('M1 - LK'!$A$301:$AC$369,MATCH(Loomakasvatus!C46,'M1 - LK'!$A$301:$A$369,0),MATCH(Loomakasvatus!B46,'M1 - LK'!$A$301:$AC$301,0))</f>
        <v>#N/A</v>
      </c>
      <c r="W186">
        <f t="shared" si="44"/>
        <v>0</v>
      </c>
      <c r="X186" s="21"/>
      <c r="Z186" s="193" t="s">
        <v>842</v>
      </c>
      <c r="AA186" s="178"/>
      <c r="AB186" s="178"/>
      <c r="AC186" s="194"/>
      <c r="AR186" s="20">
        <f>Loomakasvatus!R46</f>
        <v>0</v>
      </c>
      <c r="AS186">
        <f>Loomakasvatus!S46</f>
        <v>0</v>
      </c>
      <c r="AT186">
        <f>Loomakasvatus!T46/1000</f>
        <v>0</v>
      </c>
      <c r="AU186" t="e">
        <f>INDEX('M1 - LK'!$A$301:$AC$369,MATCH(Loomakasvatus!S46,'M1 - LK'!$A$301:$A$369,0),MATCH(Loomakasvatus!R46,'M1 - LK'!$A$301:$AC$301,0))</f>
        <v>#N/A</v>
      </c>
      <c r="AV186">
        <f t="shared" si="45"/>
        <v>0</v>
      </c>
      <c r="AW186" s="21"/>
      <c r="AY186" s="193" t="s">
        <v>842</v>
      </c>
      <c r="AZ186" s="178"/>
      <c r="BA186" s="178"/>
      <c r="BB186" s="194"/>
      <c r="BQ186" s="20">
        <f>Loomakasvatus!AH46</f>
        <v>0</v>
      </c>
      <c r="BR186">
        <f>Loomakasvatus!AI46</f>
        <v>0</v>
      </c>
      <c r="BS186">
        <f>Loomakasvatus!AJ46/1000</f>
        <v>0</v>
      </c>
      <c r="BT186" t="e">
        <f>INDEX('M1 - LK'!$A$301:$AC$369,MATCH(Loomakasvatus!AI46,'M1 - LK'!$A$301:$A$369,0),MATCH(Loomakasvatus!AH46,'M1 - LK'!$A$301:$AC$301,0))</f>
        <v>#N/A</v>
      </c>
      <c r="BU186">
        <f t="shared" si="46"/>
        <v>0</v>
      </c>
      <c r="BV186" s="21"/>
    </row>
    <row r="187" spans="1:74">
      <c r="A187" s="188" t="s">
        <v>843</v>
      </c>
      <c r="B187" s="189"/>
      <c r="C187" s="189"/>
      <c r="D187" s="190"/>
      <c r="S187" s="20">
        <f>Loomakasvatus!B47</f>
        <v>0</v>
      </c>
      <c r="T187">
        <f>Loomakasvatus!C47</f>
        <v>0</v>
      </c>
      <c r="U187">
        <f>Loomakasvatus!D47/1000</f>
        <v>0</v>
      </c>
      <c r="V187" t="e">
        <f>INDEX('M1 - LK'!$A$301:$AC$369,MATCH(Loomakasvatus!C47,'M1 - LK'!$A$301:$A$369,0),MATCH(Loomakasvatus!B47,'M1 - LK'!$A$301:$AC$301,0))</f>
        <v>#N/A</v>
      </c>
      <c r="W187">
        <f t="shared" si="44"/>
        <v>0</v>
      </c>
      <c r="X187" s="21"/>
      <c r="Z187" s="188" t="s">
        <v>843</v>
      </c>
      <c r="AA187" s="189"/>
      <c r="AB187" s="189"/>
      <c r="AC187" s="190"/>
      <c r="AR187" s="20">
        <f>Loomakasvatus!R47</f>
        <v>0</v>
      </c>
      <c r="AS187">
        <f>Loomakasvatus!S47</f>
        <v>0</v>
      </c>
      <c r="AT187">
        <f>Loomakasvatus!T47/1000</f>
        <v>0</v>
      </c>
      <c r="AU187" t="e">
        <f>INDEX('M1 - LK'!$A$301:$AC$369,MATCH(Loomakasvatus!S47,'M1 - LK'!$A$301:$A$369,0),MATCH(Loomakasvatus!R47,'M1 - LK'!$A$301:$AC$301,0))</f>
        <v>#N/A</v>
      </c>
      <c r="AV187">
        <f t="shared" si="45"/>
        <v>0</v>
      </c>
      <c r="AW187" s="21"/>
      <c r="AY187" s="188" t="s">
        <v>843</v>
      </c>
      <c r="AZ187" s="189"/>
      <c r="BA187" s="189"/>
      <c r="BB187" s="190"/>
      <c r="BQ187" s="20">
        <f>Loomakasvatus!AH47</f>
        <v>0</v>
      </c>
      <c r="BR187">
        <f>Loomakasvatus!AI47</f>
        <v>0</v>
      </c>
      <c r="BS187">
        <f>Loomakasvatus!AJ47/1000</f>
        <v>0</v>
      </c>
      <c r="BT187" t="e">
        <f>INDEX('M1 - LK'!$A$301:$AC$369,MATCH(Loomakasvatus!AI47,'M1 - LK'!$A$301:$A$369,0),MATCH(Loomakasvatus!AH47,'M1 - LK'!$A$301:$AC$301,0))</f>
        <v>#N/A</v>
      </c>
      <c r="BU187">
        <f t="shared" si="46"/>
        <v>0</v>
      </c>
      <c r="BV187" s="21"/>
    </row>
    <row r="188" spans="1:74">
      <c r="A188" s="115" t="s">
        <v>844</v>
      </c>
      <c r="B188" s="31" t="s">
        <v>845</v>
      </c>
      <c r="D188" s="818" t="e">
        <f>D189*D190/1000</f>
        <v>#REF!</v>
      </c>
      <c r="E188" t="s">
        <v>135</v>
      </c>
      <c r="F188" s="42">
        <f>F189*F190/1000</f>
        <v>0</v>
      </c>
      <c r="G188" s="42">
        <f t="shared" ref="G188:Q188" si="50">G189*G190/1000</f>
        <v>0</v>
      </c>
      <c r="H188" s="42">
        <f t="shared" si="50"/>
        <v>0</v>
      </c>
      <c r="I188" s="42">
        <f t="shared" si="50"/>
        <v>0</v>
      </c>
      <c r="J188" s="42">
        <f t="shared" si="50"/>
        <v>0</v>
      </c>
      <c r="K188" s="42">
        <f t="shared" si="50"/>
        <v>0</v>
      </c>
      <c r="L188" s="42">
        <f t="shared" si="50"/>
        <v>0</v>
      </c>
      <c r="M188" s="42">
        <f t="shared" si="50"/>
        <v>0</v>
      </c>
      <c r="N188" s="42">
        <f t="shared" si="50"/>
        <v>0</v>
      </c>
      <c r="O188" s="42">
        <f t="shared" si="50"/>
        <v>0</v>
      </c>
      <c r="P188" s="42">
        <f t="shared" si="50"/>
        <v>0</v>
      </c>
      <c r="Q188" s="42">
        <f t="shared" si="50"/>
        <v>0</v>
      </c>
      <c r="S188" s="20">
        <f>Loomakasvatus!B48</f>
        <v>0</v>
      </c>
      <c r="T188">
        <f>Loomakasvatus!C48</f>
        <v>0</v>
      </c>
      <c r="U188">
        <f>Loomakasvatus!D48/1000</f>
        <v>0</v>
      </c>
      <c r="V188" t="e">
        <f>INDEX('M1 - LK'!$A$301:$AC$369,MATCH(Loomakasvatus!C48,'M1 - LK'!$A$301:$A$369,0),MATCH(Loomakasvatus!B48,'M1 - LK'!$A$301:$AC$301,0))</f>
        <v>#N/A</v>
      </c>
      <c r="W188">
        <f t="shared" si="44"/>
        <v>0</v>
      </c>
      <c r="X188" s="21"/>
      <c r="Z188" s="115" t="s">
        <v>844</v>
      </c>
      <c r="AA188" s="31" t="s">
        <v>845</v>
      </c>
      <c r="AC188" s="818" t="e">
        <f>AC189*AC190/1000</f>
        <v>#REF!</v>
      </c>
      <c r="AD188" t="s">
        <v>135</v>
      </c>
      <c r="AE188" s="42">
        <f>AE189*AE190/1000</f>
        <v>0</v>
      </c>
      <c r="AF188" s="42">
        <f t="shared" ref="AF188:AP188" si="51">AF189*AF190/1000</f>
        <v>0</v>
      </c>
      <c r="AG188" s="42">
        <f t="shared" si="51"/>
        <v>0</v>
      </c>
      <c r="AH188" s="42">
        <f t="shared" si="51"/>
        <v>0</v>
      </c>
      <c r="AI188" s="42">
        <f t="shared" si="51"/>
        <v>0</v>
      </c>
      <c r="AJ188" s="42">
        <f t="shared" si="51"/>
        <v>0</v>
      </c>
      <c r="AK188" s="42">
        <f t="shared" si="51"/>
        <v>0</v>
      </c>
      <c r="AL188" s="42">
        <f t="shared" si="51"/>
        <v>0</v>
      </c>
      <c r="AM188" s="42">
        <f t="shared" si="51"/>
        <v>0</v>
      </c>
      <c r="AN188" s="42">
        <f t="shared" si="51"/>
        <v>0</v>
      </c>
      <c r="AO188" s="42">
        <f t="shared" si="51"/>
        <v>0</v>
      </c>
      <c r="AP188" s="42">
        <f t="shared" si="51"/>
        <v>0</v>
      </c>
      <c r="AR188" s="20">
        <f>Loomakasvatus!R48</f>
        <v>0</v>
      </c>
      <c r="AS188">
        <f>Loomakasvatus!S48</f>
        <v>0</v>
      </c>
      <c r="AT188">
        <f>Loomakasvatus!T48/1000</f>
        <v>0</v>
      </c>
      <c r="AU188" t="e">
        <f>INDEX('M1 - LK'!$A$301:$AC$369,MATCH(Loomakasvatus!S48,'M1 - LK'!$A$301:$A$369,0),MATCH(Loomakasvatus!R48,'M1 - LK'!$A$301:$AC$301,0))</f>
        <v>#N/A</v>
      </c>
      <c r="AV188">
        <f t="shared" si="45"/>
        <v>0</v>
      </c>
      <c r="AW188" s="21"/>
      <c r="AY188" s="115" t="s">
        <v>844</v>
      </c>
      <c r="AZ188" s="31" t="s">
        <v>845</v>
      </c>
      <c r="BB188" s="818" t="e">
        <f>BB189*BB190/1000</f>
        <v>#REF!</v>
      </c>
      <c r="BC188" t="s">
        <v>135</v>
      </c>
      <c r="BD188" s="42">
        <f>BD189*BD190/1000</f>
        <v>0</v>
      </c>
      <c r="BE188" s="42">
        <f t="shared" ref="BE188:BO188" si="52">BE189*BE190/1000</f>
        <v>0</v>
      </c>
      <c r="BF188" s="42">
        <f t="shared" si="52"/>
        <v>0</v>
      </c>
      <c r="BG188" s="42">
        <f t="shared" si="52"/>
        <v>0</v>
      </c>
      <c r="BH188" s="42">
        <f t="shared" si="52"/>
        <v>0</v>
      </c>
      <c r="BI188" s="42">
        <f t="shared" si="52"/>
        <v>0</v>
      </c>
      <c r="BJ188" s="42">
        <f t="shared" si="52"/>
        <v>0</v>
      </c>
      <c r="BK188" s="42">
        <f t="shared" si="52"/>
        <v>0</v>
      </c>
      <c r="BL188" s="42">
        <f t="shared" si="52"/>
        <v>0</v>
      </c>
      <c r="BM188" s="42">
        <f t="shared" si="52"/>
        <v>0</v>
      </c>
      <c r="BN188" s="42">
        <f t="shared" si="52"/>
        <v>0</v>
      </c>
      <c r="BO188" s="42">
        <f t="shared" si="52"/>
        <v>0</v>
      </c>
      <c r="BQ188" s="20">
        <f>Loomakasvatus!AH48</f>
        <v>0</v>
      </c>
      <c r="BR188">
        <f>Loomakasvatus!AI48</f>
        <v>0</v>
      </c>
      <c r="BS188">
        <f>Loomakasvatus!AJ48/1000</f>
        <v>0</v>
      </c>
      <c r="BT188" t="e">
        <f>INDEX('M1 - LK'!$A$301:$AC$369,MATCH(Loomakasvatus!AI48,'M1 - LK'!$A$301:$A$369,0),MATCH(Loomakasvatus!AH48,'M1 - LK'!$A$301:$AC$301,0))</f>
        <v>#N/A</v>
      </c>
      <c r="BU188">
        <f t="shared" si="46"/>
        <v>0</v>
      </c>
      <c r="BV188" s="21"/>
    </row>
    <row r="189" spans="1:74">
      <c r="A189" s="344" t="s">
        <v>846</v>
      </c>
      <c r="B189" s="31" t="s">
        <v>847</v>
      </c>
      <c r="D189" s="818">
        <f>'M1 - LK'!U96</f>
        <v>0.36</v>
      </c>
      <c r="E189" t="s">
        <v>736</v>
      </c>
      <c r="F189" s="811">
        <f>'M1 - LK'!$V$173</f>
        <v>29.6</v>
      </c>
      <c r="G189" s="811">
        <f>'M1 - LK'!$V$173</f>
        <v>29.6</v>
      </c>
      <c r="H189" s="811">
        <f>'M1 - LK'!$V$173</f>
        <v>29.6</v>
      </c>
      <c r="I189" s="811">
        <f>'M1 - LK'!$V$173</f>
        <v>29.6</v>
      </c>
      <c r="J189" s="811">
        <f>'M1 - LK'!$V$173</f>
        <v>29.6</v>
      </c>
      <c r="K189" s="811">
        <f>'M1 - LK'!$V$173</f>
        <v>29.6</v>
      </c>
      <c r="L189" s="811">
        <f>'M1 - LK'!$V$173</f>
        <v>29.6</v>
      </c>
      <c r="M189" s="811"/>
      <c r="N189" s="811"/>
      <c r="O189" s="811"/>
      <c r="P189" s="811"/>
      <c r="Q189" s="811"/>
      <c r="S189" s="20">
        <f>Loomakasvatus!B49</f>
        <v>0</v>
      </c>
      <c r="T189">
        <f>Loomakasvatus!C49</f>
        <v>0</v>
      </c>
      <c r="U189">
        <f>Loomakasvatus!D49/1000</f>
        <v>0</v>
      </c>
      <c r="V189" t="e">
        <f>INDEX('M1 - LK'!$A$301:$AC$369,MATCH(Loomakasvatus!C49,'M1 - LK'!$A$301:$A$369,0),MATCH(Loomakasvatus!B49,'M1 - LK'!$A$301:$AC$301,0))</f>
        <v>#N/A</v>
      </c>
      <c r="W189">
        <f t="shared" si="44"/>
        <v>0</v>
      </c>
      <c r="X189" s="21"/>
      <c r="Z189" s="344" t="s">
        <v>846</v>
      </c>
      <c r="AA189" s="31" t="s">
        <v>847</v>
      </c>
      <c r="AC189" s="818">
        <f>'M1 - LK'!AT96</f>
        <v>0</v>
      </c>
      <c r="AD189" t="s">
        <v>736</v>
      </c>
      <c r="AE189" s="811">
        <f>'M1 - LK'!$V$173</f>
        <v>29.6</v>
      </c>
      <c r="AF189" s="811">
        <f>'M1 - LK'!$V$173</f>
        <v>29.6</v>
      </c>
      <c r="AG189" s="811">
        <f>'M1 - LK'!$V$173</f>
        <v>29.6</v>
      </c>
      <c r="AH189" s="811">
        <f>'M1 - LK'!$V$173</f>
        <v>29.6</v>
      </c>
      <c r="AI189" s="811">
        <f>'M1 - LK'!$V$173</f>
        <v>29.6</v>
      </c>
      <c r="AJ189" s="811">
        <f>'M1 - LK'!$V$173</f>
        <v>29.6</v>
      </c>
      <c r="AK189" s="811">
        <f>'M1 - LK'!$V$173</f>
        <v>29.6</v>
      </c>
      <c r="AL189" s="811"/>
      <c r="AM189" s="811"/>
      <c r="AN189" s="811"/>
      <c r="AO189" s="811"/>
      <c r="AP189" s="811"/>
      <c r="AR189" s="20">
        <f>Loomakasvatus!R49</f>
        <v>0</v>
      </c>
      <c r="AS189">
        <f>Loomakasvatus!S49</f>
        <v>0</v>
      </c>
      <c r="AT189">
        <f>Loomakasvatus!T49/1000</f>
        <v>0</v>
      </c>
      <c r="AU189" t="e">
        <f>INDEX('M1 - LK'!$A$301:$AC$369,MATCH(Loomakasvatus!S49,'M1 - LK'!$A$301:$A$369,0),MATCH(Loomakasvatus!R49,'M1 - LK'!$A$301:$AC$301,0))</f>
        <v>#N/A</v>
      </c>
      <c r="AV189">
        <f t="shared" si="45"/>
        <v>0</v>
      </c>
      <c r="AW189" s="21"/>
      <c r="AY189" s="344" t="s">
        <v>846</v>
      </c>
      <c r="AZ189" s="31" t="s">
        <v>847</v>
      </c>
      <c r="BB189" s="818">
        <f>'M1 - LK'!BS96</f>
        <v>0</v>
      </c>
      <c r="BC189" t="s">
        <v>736</v>
      </c>
      <c r="BD189" s="811">
        <f>'M1 - LK'!$V$173</f>
        <v>29.6</v>
      </c>
      <c r="BE189" s="811">
        <f>'M1 - LK'!$V$173</f>
        <v>29.6</v>
      </c>
      <c r="BF189" s="811">
        <f>'M1 - LK'!$V$173</f>
        <v>29.6</v>
      </c>
      <c r="BG189" s="811">
        <f>'M1 - LK'!$V$173</f>
        <v>29.6</v>
      </c>
      <c r="BH189" s="811">
        <f>'M1 - LK'!$V$173</f>
        <v>29.6</v>
      </c>
      <c r="BI189" s="811">
        <f>'M1 - LK'!$V$173</f>
        <v>29.6</v>
      </c>
      <c r="BJ189" s="811">
        <f>'M1 - LK'!$V$173</f>
        <v>29.6</v>
      </c>
      <c r="BK189" s="811"/>
      <c r="BL189" s="811"/>
      <c r="BM189" s="811"/>
      <c r="BN189" s="811"/>
      <c r="BO189" s="811"/>
      <c r="BQ189" s="20">
        <f>Loomakasvatus!AH49</f>
        <v>0</v>
      </c>
      <c r="BR189">
        <f>Loomakasvatus!AI49</f>
        <v>0</v>
      </c>
      <c r="BS189">
        <f>Loomakasvatus!AJ49/1000</f>
        <v>0</v>
      </c>
      <c r="BT189" t="e">
        <f>INDEX('M1 - LK'!$A$301:$AC$369,MATCH(Loomakasvatus!AI49,'M1 - LK'!$A$301:$A$369,0),MATCH(Loomakasvatus!AH49,'M1 - LK'!$A$301:$AC$301,0))</f>
        <v>#N/A</v>
      </c>
      <c r="BU189">
        <f t="shared" si="46"/>
        <v>0</v>
      </c>
      <c r="BV189" s="21"/>
    </row>
    <row r="190" spans="1:74">
      <c r="A190" s="342" t="s">
        <v>848</v>
      </c>
      <c r="B190" s="343" t="s">
        <v>849</v>
      </c>
      <c r="C190" s="49"/>
      <c r="D190" s="819" t="e">
        <f>Loomakasvatus!#REF!</f>
        <v>#REF!</v>
      </c>
      <c r="E190" t="s">
        <v>135</v>
      </c>
      <c r="F190" s="62">
        <f>Loomakasvatus!C19</f>
        <v>0</v>
      </c>
      <c r="G190" s="62">
        <f>Loomakasvatus!D19</f>
        <v>0</v>
      </c>
      <c r="H190" s="62">
        <f>Loomakasvatus!E19</f>
        <v>0</v>
      </c>
      <c r="I190" s="62">
        <f>Loomakasvatus!F19</f>
        <v>0</v>
      </c>
      <c r="J190" s="62">
        <f>Loomakasvatus!G19</f>
        <v>0</v>
      </c>
      <c r="K190" s="62">
        <f>Loomakasvatus!H19</f>
        <v>0</v>
      </c>
      <c r="L190" s="62">
        <f>Loomakasvatus!I19</f>
        <v>0</v>
      </c>
      <c r="M190" s="62">
        <f>Loomakasvatus!J19</f>
        <v>0</v>
      </c>
      <c r="N190" s="62">
        <f>Loomakasvatus!K19</f>
        <v>0</v>
      </c>
      <c r="O190" s="62">
        <f>Loomakasvatus!L19</f>
        <v>0</v>
      </c>
      <c r="P190" s="62">
        <f>Loomakasvatus!M19</f>
        <v>0</v>
      </c>
      <c r="Q190" s="62">
        <f>Loomakasvatus!N19</f>
        <v>0</v>
      </c>
      <c r="S190" s="20">
        <f>Loomakasvatus!B50</f>
        <v>0</v>
      </c>
      <c r="T190">
        <f>Loomakasvatus!C50</f>
        <v>0</v>
      </c>
      <c r="U190">
        <f>Loomakasvatus!D50/1000</f>
        <v>0</v>
      </c>
      <c r="V190" t="e">
        <f>INDEX('M1 - LK'!$A$301:$AC$369,MATCH(Loomakasvatus!C50,'M1 - LK'!$A$301:$A$369,0),MATCH(Loomakasvatus!B50,'M1 - LK'!$A$301:$AC$301,0))</f>
        <v>#N/A</v>
      </c>
      <c r="W190">
        <f t="shared" si="44"/>
        <v>0</v>
      </c>
      <c r="X190" s="21"/>
      <c r="Z190" s="342" t="s">
        <v>848</v>
      </c>
      <c r="AA190" s="343" t="s">
        <v>849</v>
      </c>
      <c r="AB190" s="49"/>
      <c r="AC190" s="819" t="e">
        <f>Loomakasvatus!#REF!</f>
        <v>#REF!</v>
      </c>
      <c r="AD190" t="s">
        <v>135</v>
      </c>
      <c r="AE190" s="62">
        <f>Loomakasvatus!S19</f>
        <v>0</v>
      </c>
      <c r="AF190" s="62">
        <f>Loomakasvatus!T19</f>
        <v>0</v>
      </c>
      <c r="AG190" s="62">
        <f>Loomakasvatus!U19</f>
        <v>0</v>
      </c>
      <c r="AH190" s="62">
        <f>Loomakasvatus!V19</f>
        <v>0</v>
      </c>
      <c r="AI190" s="62">
        <f>Loomakasvatus!W19</f>
        <v>0</v>
      </c>
      <c r="AJ190" s="62">
        <f>Loomakasvatus!X19</f>
        <v>0</v>
      </c>
      <c r="AK190" s="62">
        <f>Loomakasvatus!Y19</f>
        <v>0</v>
      </c>
      <c r="AL190" s="62">
        <f>Loomakasvatus!Z19</f>
        <v>0</v>
      </c>
      <c r="AM190" s="62">
        <f>Loomakasvatus!AA19</f>
        <v>0</v>
      </c>
      <c r="AN190" s="62">
        <f>Loomakasvatus!AB19</f>
        <v>0</v>
      </c>
      <c r="AO190" s="62">
        <f>Loomakasvatus!AC19</f>
        <v>0</v>
      </c>
      <c r="AP190" s="62">
        <f>Loomakasvatus!AD19</f>
        <v>0</v>
      </c>
      <c r="AR190" s="20">
        <f>Loomakasvatus!R50</f>
        <v>0</v>
      </c>
      <c r="AS190">
        <f>Loomakasvatus!S50</f>
        <v>0</v>
      </c>
      <c r="AT190">
        <f>Loomakasvatus!T50/1000</f>
        <v>0</v>
      </c>
      <c r="AU190" t="e">
        <f>INDEX('M1 - LK'!$A$301:$AC$369,MATCH(Loomakasvatus!S50,'M1 - LK'!$A$301:$A$369,0),MATCH(Loomakasvatus!R50,'M1 - LK'!$A$301:$AC$301,0))</f>
        <v>#N/A</v>
      </c>
      <c r="AV190">
        <f t="shared" si="45"/>
        <v>0</v>
      </c>
      <c r="AW190" s="21"/>
      <c r="AY190" s="342" t="s">
        <v>848</v>
      </c>
      <c r="AZ190" s="343" t="s">
        <v>849</v>
      </c>
      <c r="BA190" s="49"/>
      <c r="BB190" s="819" t="e">
        <f>Loomakasvatus!#REF!</f>
        <v>#REF!</v>
      </c>
      <c r="BC190" t="s">
        <v>135</v>
      </c>
      <c r="BD190" s="62">
        <f>Loomakasvatus!AI19</f>
        <v>0</v>
      </c>
      <c r="BE190" s="62">
        <f>Loomakasvatus!AJ19</f>
        <v>0</v>
      </c>
      <c r="BF190" s="62">
        <f>Loomakasvatus!AK19</f>
        <v>0</v>
      </c>
      <c r="BG190" s="62">
        <f>Loomakasvatus!AL19</f>
        <v>0</v>
      </c>
      <c r="BH190" s="62">
        <f>Loomakasvatus!AM19</f>
        <v>0</v>
      </c>
      <c r="BI190" s="62">
        <f>Loomakasvatus!AN19</f>
        <v>0</v>
      </c>
      <c r="BJ190" s="62">
        <f>Loomakasvatus!AO19</f>
        <v>0</v>
      </c>
      <c r="BK190" s="62">
        <f>Loomakasvatus!AP19</f>
        <v>0</v>
      </c>
      <c r="BL190" s="62">
        <f>Loomakasvatus!AQ19</f>
        <v>0</v>
      </c>
      <c r="BM190" s="62">
        <f>Loomakasvatus!AR19</f>
        <v>0</v>
      </c>
      <c r="BN190" s="62">
        <f>Loomakasvatus!AS19</f>
        <v>0</v>
      </c>
      <c r="BO190" s="62">
        <f>Loomakasvatus!AT19</f>
        <v>0</v>
      </c>
      <c r="BQ190" s="20">
        <f>Loomakasvatus!AH50</f>
        <v>0</v>
      </c>
      <c r="BR190">
        <f>Loomakasvatus!AI50</f>
        <v>0</v>
      </c>
      <c r="BS190">
        <f>Loomakasvatus!AJ50/1000</f>
        <v>0</v>
      </c>
      <c r="BT190" t="e">
        <f>INDEX('M1 - LK'!$A$301:$AC$369,MATCH(Loomakasvatus!AI50,'M1 - LK'!$A$301:$A$369,0),MATCH(Loomakasvatus!AH50,'M1 - LK'!$A$301:$AC$301,0))</f>
        <v>#N/A</v>
      </c>
      <c r="BU190">
        <f t="shared" si="46"/>
        <v>0</v>
      </c>
      <c r="BV190" s="21"/>
    </row>
    <row r="191" spans="1:74">
      <c r="A191" s="193" t="s">
        <v>850</v>
      </c>
      <c r="B191" s="178"/>
      <c r="C191" s="178"/>
      <c r="D191" s="194"/>
      <c r="S191" s="20">
        <f>Loomakasvatus!B51</f>
        <v>0</v>
      </c>
      <c r="T191">
        <f>Loomakasvatus!C51</f>
        <v>0</v>
      </c>
      <c r="U191">
        <f>Loomakasvatus!D51/1000</f>
        <v>0</v>
      </c>
      <c r="V191" t="e">
        <f>INDEX('M1 - LK'!$A$301:$AC$369,MATCH(Loomakasvatus!C51,'M1 - LK'!$A$301:$A$369,0),MATCH(Loomakasvatus!B51,'M1 - LK'!$A$301:$AC$301,0))</f>
        <v>#N/A</v>
      </c>
      <c r="W191">
        <f t="shared" si="44"/>
        <v>0</v>
      </c>
      <c r="X191" s="21"/>
      <c r="Z191" s="193" t="s">
        <v>850</v>
      </c>
      <c r="AA191" s="178"/>
      <c r="AB191" s="178"/>
      <c r="AC191" s="194"/>
      <c r="AR191" s="20">
        <f>Loomakasvatus!R51</f>
        <v>0</v>
      </c>
      <c r="AS191">
        <f>Loomakasvatus!S51</f>
        <v>0</v>
      </c>
      <c r="AT191">
        <f>Loomakasvatus!T51/1000</f>
        <v>0</v>
      </c>
      <c r="AU191" t="e">
        <f>INDEX('M1 - LK'!$A$301:$AC$369,MATCH(Loomakasvatus!S51,'M1 - LK'!$A$301:$A$369,0),MATCH(Loomakasvatus!R51,'M1 - LK'!$A$301:$AC$301,0))</f>
        <v>#N/A</v>
      </c>
      <c r="AV191">
        <f t="shared" si="45"/>
        <v>0</v>
      </c>
      <c r="AW191" s="21"/>
      <c r="AY191" s="193" t="s">
        <v>850</v>
      </c>
      <c r="AZ191" s="178"/>
      <c r="BA191" s="178"/>
      <c r="BB191" s="194"/>
      <c r="BQ191" s="20">
        <f>Loomakasvatus!AH51</f>
        <v>0</v>
      </c>
      <c r="BR191">
        <f>Loomakasvatus!AI51</f>
        <v>0</v>
      </c>
      <c r="BS191">
        <f>Loomakasvatus!AJ51/1000</f>
        <v>0</v>
      </c>
      <c r="BT191" t="e">
        <f>INDEX('M1 - LK'!$A$301:$AC$369,MATCH(Loomakasvatus!AI51,'M1 - LK'!$A$301:$A$369,0),MATCH(Loomakasvatus!AH51,'M1 - LK'!$A$301:$AC$301,0))</f>
        <v>#N/A</v>
      </c>
      <c r="BU191">
        <f t="shared" si="46"/>
        <v>0</v>
      </c>
      <c r="BV191" s="21"/>
    </row>
    <row r="192" spans="1:74">
      <c r="A192" s="188" t="s">
        <v>851</v>
      </c>
      <c r="B192" s="189"/>
      <c r="C192" s="189"/>
      <c r="D192" s="190"/>
      <c r="F192" s="1"/>
      <c r="G192" s="1"/>
      <c r="H192" s="1"/>
      <c r="I192" s="1"/>
      <c r="J192" s="1"/>
      <c r="K192" s="1"/>
      <c r="S192" s="20">
        <f>Loomakasvatus!B52</f>
        <v>0</v>
      </c>
      <c r="T192">
        <f>Loomakasvatus!C52</f>
        <v>0</v>
      </c>
      <c r="U192">
        <f>Loomakasvatus!D52/1000</f>
        <v>0</v>
      </c>
      <c r="V192" t="e">
        <f>INDEX('M1 - LK'!$A$301:$AC$369,MATCH(Loomakasvatus!C52,'M1 - LK'!$A$301:$A$369,0),MATCH(Loomakasvatus!B52,'M1 - LK'!$A$301:$AC$301,0))</f>
        <v>#N/A</v>
      </c>
      <c r="W192">
        <f t="shared" si="44"/>
        <v>0</v>
      </c>
      <c r="X192" s="21"/>
      <c r="Z192" s="188" t="s">
        <v>851</v>
      </c>
      <c r="AA192" s="189"/>
      <c r="AB192" s="189"/>
      <c r="AC192" s="190"/>
      <c r="AE192" s="1"/>
      <c r="AF192" s="1"/>
      <c r="AG192" s="1"/>
      <c r="AH192" s="1"/>
      <c r="AI192" s="1"/>
      <c r="AJ192" s="1"/>
      <c r="AR192" s="20">
        <f>Loomakasvatus!R52</f>
        <v>0</v>
      </c>
      <c r="AS192">
        <f>Loomakasvatus!S52</f>
        <v>0</v>
      </c>
      <c r="AT192">
        <f>Loomakasvatus!T52/1000</f>
        <v>0</v>
      </c>
      <c r="AU192" t="e">
        <f>INDEX('M1 - LK'!$A$301:$AC$369,MATCH(Loomakasvatus!S52,'M1 - LK'!$A$301:$A$369,0),MATCH(Loomakasvatus!R52,'M1 - LK'!$A$301:$AC$301,0))</f>
        <v>#N/A</v>
      </c>
      <c r="AV192">
        <f t="shared" si="45"/>
        <v>0</v>
      </c>
      <c r="AW192" s="21"/>
      <c r="AY192" s="188" t="s">
        <v>851</v>
      </c>
      <c r="AZ192" s="189"/>
      <c r="BA192" s="189"/>
      <c r="BB192" s="190"/>
      <c r="BD192" s="1"/>
      <c r="BE192" s="1"/>
      <c r="BF192" s="1"/>
      <c r="BG192" s="1"/>
      <c r="BH192" s="1"/>
      <c r="BI192" s="1"/>
      <c r="BQ192" s="20">
        <f>Loomakasvatus!AH52</f>
        <v>0</v>
      </c>
      <c r="BR192">
        <f>Loomakasvatus!AI52</f>
        <v>0</v>
      </c>
      <c r="BS192">
        <f>Loomakasvatus!AJ52/1000</f>
        <v>0</v>
      </c>
      <c r="BT192" t="e">
        <f>INDEX('M1 - LK'!$A$301:$AC$369,MATCH(Loomakasvatus!AI52,'M1 - LK'!$A$301:$A$369,0),MATCH(Loomakasvatus!AH52,'M1 - LK'!$A$301:$AC$301,0))</f>
        <v>#N/A</v>
      </c>
      <c r="BU192">
        <f t="shared" si="46"/>
        <v>0</v>
      </c>
      <c r="BV192" s="21"/>
    </row>
    <row r="193" spans="1:74" ht="15" thickBot="1">
      <c r="A193" s="20" t="s">
        <v>742</v>
      </c>
      <c r="B193" t="s">
        <v>743</v>
      </c>
      <c r="D193" s="815" t="e">
        <f>D173-D178-D183-D188</f>
        <v>#REF!</v>
      </c>
      <c r="E193" t="s">
        <v>135</v>
      </c>
      <c r="F193" s="42">
        <f>F173-F178-F183-F188</f>
        <v>0</v>
      </c>
      <c r="G193" s="42">
        <f t="shared" ref="G193:Q193" si="53">G173-G178-G183-G188</f>
        <v>0</v>
      </c>
      <c r="H193" s="42">
        <f t="shared" si="53"/>
        <v>0</v>
      </c>
      <c r="I193" s="42">
        <f t="shared" si="53"/>
        <v>0</v>
      </c>
      <c r="J193" s="42">
        <f t="shared" si="53"/>
        <v>0</v>
      </c>
      <c r="K193" s="42">
        <f t="shared" si="53"/>
        <v>0</v>
      </c>
      <c r="L193" s="42">
        <f t="shared" si="53"/>
        <v>0</v>
      </c>
      <c r="M193" s="42">
        <f t="shared" si="53"/>
        <v>0</v>
      </c>
      <c r="N193" s="42">
        <f t="shared" si="53"/>
        <v>0</v>
      </c>
      <c r="O193" s="42">
        <f t="shared" si="53"/>
        <v>0</v>
      </c>
      <c r="P193" s="42">
        <f t="shared" si="53"/>
        <v>0</v>
      </c>
      <c r="Q193" s="42">
        <f t="shared" si="53"/>
        <v>0</v>
      </c>
      <c r="S193" s="20">
        <f>Loomakasvatus!B53</f>
        <v>0</v>
      </c>
      <c r="T193">
        <f>Loomakasvatus!C53</f>
        <v>0</v>
      </c>
      <c r="U193">
        <f>Loomakasvatus!D53/1000</f>
        <v>0</v>
      </c>
      <c r="V193" t="e">
        <f>INDEX('M1 - LK'!$A$301:$AC$369,MATCH(Loomakasvatus!C53,'M1 - LK'!$A$301:$A$369,0),MATCH(Loomakasvatus!B53,'M1 - LK'!$A$301:$AC$301,0))</f>
        <v>#N/A</v>
      </c>
      <c r="W193">
        <f t="shared" si="44"/>
        <v>0</v>
      </c>
      <c r="X193" s="21"/>
      <c r="Z193" s="20" t="s">
        <v>742</v>
      </c>
      <c r="AA193" t="s">
        <v>743</v>
      </c>
      <c r="AC193" s="815" t="e">
        <f>AC173-AC178-AC183-AC188</f>
        <v>#REF!</v>
      </c>
      <c r="AD193" t="s">
        <v>135</v>
      </c>
      <c r="AE193" s="42">
        <f>AE173-AE178-AE183-AE188</f>
        <v>0</v>
      </c>
      <c r="AF193" s="42">
        <f t="shared" ref="AF193:AP193" si="54">AF173-AF178-AF183-AF188</f>
        <v>0</v>
      </c>
      <c r="AG193" s="42">
        <f t="shared" si="54"/>
        <v>0</v>
      </c>
      <c r="AH193" s="42">
        <f t="shared" si="54"/>
        <v>0</v>
      </c>
      <c r="AI193" s="42">
        <f t="shared" si="54"/>
        <v>0</v>
      </c>
      <c r="AJ193" s="42">
        <f t="shared" si="54"/>
        <v>0</v>
      </c>
      <c r="AK193" s="42">
        <f t="shared" si="54"/>
        <v>0</v>
      </c>
      <c r="AL193" s="42">
        <f t="shared" si="54"/>
        <v>0</v>
      </c>
      <c r="AM193" s="42">
        <f t="shared" si="54"/>
        <v>0</v>
      </c>
      <c r="AN193" s="42">
        <f t="shared" si="54"/>
        <v>0</v>
      </c>
      <c r="AO193" s="42">
        <f t="shared" si="54"/>
        <v>0</v>
      </c>
      <c r="AP193" s="42">
        <f t="shared" si="54"/>
        <v>0</v>
      </c>
      <c r="AR193" s="20">
        <f>Loomakasvatus!R53</f>
        <v>0</v>
      </c>
      <c r="AS193">
        <f>Loomakasvatus!S53</f>
        <v>0</v>
      </c>
      <c r="AT193">
        <f>Loomakasvatus!T53/1000</f>
        <v>0</v>
      </c>
      <c r="AU193" t="e">
        <f>INDEX('M1 - LK'!$A$301:$AC$369,MATCH(Loomakasvatus!S53,'M1 - LK'!$A$301:$A$369,0),MATCH(Loomakasvatus!R53,'M1 - LK'!$A$301:$AC$301,0))</f>
        <v>#N/A</v>
      </c>
      <c r="AV193">
        <f t="shared" si="45"/>
        <v>0</v>
      </c>
      <c r="AW193" s="21"/>
      <c r="AY193" s="20" t="s">
        <v>742</v>
      </c>
      <c r="AZ193" t="s">
        <v>743</v>
      </c>
      <c r="BB193" s="815" t="e">
        <f>BB173-BB178-BB183-BB188</f>
        <v>#REF!</v>
      </c>
      <c r="BC193" t="s">
        <v>135</v>
      </c>
      <c r="BD193" s="42">
        <f>BD173-BD178-BD183-BD188</f>
        <v>0</v>
      </c>
      <c r="BE193" s="42">
        <f t="shared" ref="BE193:BO193" si="55">BE173-BE178-BE183-BE188</f>
        <v>0</v>
      </c>
      <c r="BF193" s="42">
        <f t="shared" si="55"/>
        <v>0</v>
      </c>
      <c r="BG193" s="42">
        <f t="shared" si="55"/>
        <v>0</v>
      </c>
      <c r="BH193" s="42">
        <f t="shared" si="55"/>
        <v>0</v>
      </c>
      <c r="BI193" s="42">
        <f t="shared" si="55"/>
        <v>0</v>
      </c>
      <c r="BJ193" s="42">
        <f t="shared" si="55"/>
        <v>0</v>
      </c>
      <c r="BK193" s="42">
        <f t="shared" si="55"/>
        <v>0</v>
      </c>
      <c r="BL193" s="42">
        <f t="shared" si="55"/>
        <v>0</v>
      </c>
      <c r="BM193" s="42">
        <f t="shared" si="55"/>
        <v>0</v>
      </c>
      <c r="BN193" s="42">
        <f t="shared" si="55"/>
        <v>0</v>
      </c>
      <c r="BO193" s="42">
        <f t="shared" si="55"/>
        <v>0</v>
      </c>
      <c r="BQ193" s="20">
        <f>Loomakasvatus!AH53</f>
        <v>0</v>
      </c>
      <c r="BR193">
        <f>Loomakasvatus!AI53</f>
        <v>0</v>
      </c>
      <c r="BS193">
        <f>Loomakasvatus!AJ53/1000</f>
        <v>0</v>
      </c>
      <c r="BT193" t="e">
        <f>INDEX('M1 - LK'!$A$301:$AC$369,MATCH(Loomakasvatus!AI53,'M1 - LK'!$A$301:$A$369,0),MATCH(Loomakasvatus!AH53,'M1 - LK'!$A$301:$AC$301,0))</f>
        <v>#N/A</v>
      </c>
      <c r="BU193">
        <f t="shared" si="46"/>
        <v>0</v>
      </c>
      <c r="BV193" s="21"/>
    </row>
    <row r="194" spans="1:74" ht="15" thickBot="1">
      <c r="A194" s="1341" t="s">
        <v>751</v>
      </c>
      <c r="B194" s="1341"/>
      <c r="C194" s="1341"/>
      <c r="D194" s="1341"/>
      <c r="S194" s="20">
        <f>Loomakasvatus!B54</f>
        <v>0</v>
      </c>
      <c r="T194">
        <f>Loomakasvatus!C54</f>
        <v>0</v>
      </c>
      <c r="U194">
        <f>Loomakasvatus!D54/1000</f>
        <v>0</v>
      </c>
      <c r="V194" t="e">
        <f>INDEX('M1 - LK'!$A$301:$AC$369,MATCH(Loomakasvatus!C54,'M1 - LK'!$A$301:$A$369,0),MATCH(Loomakasvatus!B54,'M1 - LK'!$A$301:$AC$301,0))</f>
        <v>#N/A</v>
      </c>
      <c r="W194">
        <f t="shared" si="44"/>
        <v>0</v>
      </c>
      <c r="X194" s="21"/>
      <c r="Z194" s="1341" t="s">
        <v>751</v>
      </c>
      <c r="AA194" s="1341"/>
      <c r="AB194" s="1341"/>
      <c r="AC194" s="1341"/>
      <c r="AR194" s="20">
        <f>Loomakasvatus!AA54</f>
        <v>0</v>
      </c>
      <c r="AS194">
        <f>Loomakasvatus!S54</f>
        <v>0</v>
      </c>
      <c r="AT194">
        <f>Loomakasvatus!T54/1000</f>
        <v>0</v>
      </c>
      <c r="AU194" t="e">
        <f>INDEX('M1 - LK'!$A$301:$AC$369,MATCH(Loomakasvatus!S54,'M1 - LK'!$A$301:$A$369,0),MATCH(Loomakasvatus!R54,'M1 - LK'!$A$301:$AC$301,0))</f>
        <v>#N/A</v>
      </c>
      <c r="AV194">
        <f t="shared" si="45"/>
        <v>0</v>
      </c>
      <c r="AW194" s="21"/>
      <c r="AY194" s="1341" t="s">
        <v>751</v>
      </c>
      <c r="AZ194" s="1341"/>
      <c r="BA194" s="1341"/>
      <c r="BB194" s="1341"/>
      <c r="BQ194" s="20">
        <f>Loomakasvatus!AH54</f>
        <v>0</v>
      </c>
      <c r="BR194">
        <f>Loomakasvatus!AI54</f>
        <v>0</v>
      </c>
      <c r="BS194">
        <f>Loomakasvatus!AJ54/1000</f>
        <v>0</v>
      </c>
      <c r="BT194" t="e">
        <f>INDEX('M1 - LK'!$A$301:$AC$369,MATCH(Loomakasvatus!AI54,'M1 - LK'!$A$301:$A$369,0),MATCH(Loomakasvatus!AH54,'M1 - LK'!$A$301:$AC$301,0))</f>
        <v>#N/A</v>
      </c>
      <c r="BU194">
        <f t="shared" si="46"/>
        <v>0</v>
      </c>
      <c r="BV194" s="21"/>
    </row>
    <row r="195" spans="1:74">
      <c r="A195" s="372" t="s">
        <v>754</v>
      </c>
      <c r="B195" s="373"/>
      <c r="C195" s="373"/>
      <c r="D195" s="374"/>
      <c r="F195" s="1" t="s">
        <v>1029</v>
      </c>
      <c r="S195" s="15"/>
      <c r="T195" s="16" t="str">
        <f>Loomakasvatus!C55</f>
        <v>Isekasvatatud taimne sööt</v>
      </c>
      <c r="U195" s="16" t="str">
        <f>Loomakasvatus!D55</f>
        <v>Kogus (kg)</v>
      </c>
      <c r="V195" s="16"/>
      <c r="W195" s="16">
        <f t="shared" si="44"/>
        <v>0</v>
      </c>
      <c r="X195" s="861">
        <f>SUM(W196:W204)</f>
        <v>0</v>
      </c>
      <c r="Z195" s="372" t="s">
        <v>754</v>
      </c>
      <c r="AA195" s="373"/>
      <c r="AB195" s="373"/>
      <c r="AC195" s="374"/>
      <c r="AE195" s="1" t="s">
        <v>1029</v>
      </c>
      <c r="AR195" s="15"/>
      <c r="AS195" s="16" t="str">
        <f>Loomakasvatus!S55</f>
        <v>Isekasvatatud taimne sööt</v>
      </c>
      <c r="AT195" s="16" t="str">
        <f>Loomakasvatus!T55</f>
        <v>Kogus (kg)</v>
      </c>
      <c r="AU195" s="16"/>
      <c r="AV195" s="16">
        <f t="shared" si="45"/>
        <v>0</v>
      </c>
      <c r="AW195" s="861">
        <f>SUM(AV196:AV204)</f>
        <v>0</v>
      </c>
      <c r="AY195" s="372" t="s">
        <v>754</v>
      </c>
      <c r="AZ195" s="373"/>
      <c r="BA195" s="373"/>
      <c r="BB195" s="374"/>
      <c r="BD195" s="1" t="s">
        <v>1029</v>
      </c>
      <c r="BQ195" s="15"/>
      <c r="BR195" s="16" t="str">
        <f>Loomakasvatus!AI55</f>
        <v>Isekasvatatud taimne sööt</v>
      </c>
      <c r="BS195" s="16" t="str">
        <f>Loomakasvatus!AJ55</f>
        <v>Kogus (kg)</v>
      </c>
      <c r="BT195" s="16"/>
      <c r="BU195" s="16">
        <f t="shared" si="46"/>
        <v>0</v>
      </c>
      <c r="BV195" s="861">
        <f>SUM(BU196:BU204)</f>
        <v>0</v>
      </c>
    </row>
    <row r="196" spans="1:74">
      <c r="A196" s="382" t="s">
        <v>742</v>
      </c>
      <c r="B196" s="383" t="s">
        <v>743</v>
      </c>
      <c r="C196" s="368"/>
      <c r="D196" s="376"/>
      <c r="E196" t="s">
        <v>135</v>
      </c>
      <c r="F196" s="42">
        <f>(1-F202)*F193*'M1 - TK'!$B$16*(44/28)</f>
        <v>0</v>
      </c>
      <c r="G196" s="42">
        <f>(1-G202)*G193*'M1 - TK'!$B$16*(44/28)</f>
        <v>0</v>
      </c>
      <c r="H196" s="42">
        <f>(1-H202)*H193*'M1 - TK'!$B$16*(44/28)</f>
        <v>0</v>
      </c>
      <c r="I196" s="42">
        <f>(1-I202)*I193*'M1 - TK'!$B$16*(44/28)</f>
        <v>0</v>
      </c>
      <c r="J196" s="42">
        <f>(1-J202)*J193*'M1 - TK'!$B$16*(44/28)</f>
        <v>0</v>
      </c>
      <c r="K196" s="42">
        <f>(1-K202)*K193*'M1 - TK'!$B$16*(44/28)</f>
        <v>0</v>
      </c>
      <c r="L196" s="42">
        <f>(1-L202)*L193*'M1 - TK'!$B$16*(44/28)</f>
        <v>0</v>
      </c>
      <c r="M196" s="42">
        <f>(1-M202)*M193*'M1 - TK'!$B$16*(44/28)</f>
        <v>0</v>
      </c>
      <c r="N196" s="42">
        <f>(1-N202)*N193*'M1 - TK'!$B$16*(44/28)</f>
        <v>0</v>
      </c>
      <c r="O196" s="42">
        <f>(1-O202)*O193*'M1 - TK'!$B$16*(44/28)</f>
        <v>0</v>
      </c>
      <c r="P196" s="42">
        <f>(1-P202)*P193*'M1 - TK'!$B$16*(44/28)</f>
        <v>0</v>
      </c>
      <c r="Q196" s="42">
        <f>(1-Q202)*Q193*'M1 - TK'!$B$16*(44/28)</f>
        <v>0</v>
      </c>
      <c r="R196" s="444">
        <f>SUM(F196:Q198)</f>
        <v>0</v>
      </c>
      <c r="S196" s="20"/>
      <c r="T196">
        <f>Loomakasvatus!C56</f>
        <v>0</v>
      </c>
      <c r="U196">
        <f>Loomakasvatus!D56/1000</f>
        <v>0</v>
      </c>
      <c r="V196">
        <f>IFERROR(VLOOKUP(T196,Ettev_kalk!$CK$55:$CL$82,2,FALSE),0)</f>
        <v>0</v>
      </c>
      <c r="W196">
        <f t="shared" si="38"/>
        <v>0</v>
      </c>
      <c r="X196" s="21"/>
      <c r="Z196" s="382" t="s">
        <v>742</v>
      </c>
      <c r="AA196" s="383" t="s">
        <v>743</v>
      </c>
      <c r="AB196" s="368"/>
      <c r="AC196" s="376"/>
      <c r="AD196" t="s">
        <v>135</v>
      </c>
      <c r="AE196" s="42">
        <f>(1-AE202)*AE193*'M1 - TK'!$B$16*(44/28)</f>
        <v>0</v>
      </c>
      <c r="AF196" s="42">
        <f>(1-AF202)*AF193*'M1 - TK'!$B$16*(44/28)</f>
        <v>0</v>
      </c>
      <c r="AG196" s="42">
        <f>(1-AG202)*AG193*'M1 - TK'!$B$16*(44/28)</f>
        <v>0</v>
      </c>
      <c r="AH196" s="42">
        <f>(1-AH202)*AH193*'M1 - TK'!$B$16*(44/28)</f>
        <v>0</v>
      </c>
      <c r="AI196" s="42">
        <f>(1-AI202)*AI193*'M1 - TK'!$B$16*(44/28)</f>
        <v>0</v>
      </c>
      <c r="AJ196" s="42">
        <f>(1-AJ202)*AJ193*'M1 - TK'!$B$16*(44/28)</f>
        <v>0</v>
      </c>
      <c r="AK196" s="42">
        <f>(1-AK202)*AK193*'M1 - TK'!$B$16*(44/28)</f>
        <v>0</v>
      </c>
      <c r="AL196" s="42">
        <f>(1-AL202)*AL193*'M1 - TK'!$B$16*(44/28)</f>
        <v>0</v>
      </c>
      <c r="AM196" s="42">
        <f>(1-AM202)*AM193*'M1 - TK'!$B$16*(44/28)</f>
        <v>0</v>
      </c>
      <c r="AN196" s="42">
        <f>(1-AN202)*AN193*'M1 - TK'!$B$16*(44/28)</f>
        <v>0</v>
      </c>
      <c r="AO196" s="42">
        <f>(1-AO202)*AO193*'M1 - TK'!$B$16*(44/28)</f>
        <v>0</v>
      </c>
      <c r="AP196" s="42">
        <f>(1-AP202)*AP193*'M1 - TK'!$B$16*(44/28)</f>
        <v>0</v>
      </c>
      <c r="AQ196" s="444">
        <f>SUM(AE196:AP198)</f>
        <v>0</v>
      </c>
      <c r="AR196" s="20"/>
      <c r="AS196">
        <f>Loomakasvatus!S56</f>
        <v>0</v>
      </c>
      <c r="AT196">
        <f>Loomakasvatus!T56/1000</f>
        <v>0</v>
      </c>
      <c r="AU196">
        <f>IFERROR(VLOOKUP(AS196,Ettev_kalk!$CK$55:$CL$82,2,FALSE),0)</f>
        <v>0</v>
      </c>
      <c r="AV196">
        <f t="shared" ref="AV196:AV204" si="56">AU196*AT196</f>
        <v>0</v>
      </c>
      <c r="AW196" s="21"/>
      <c r="AY196" s="382" t="s">
        <v>742</v>
      </c>
      <c r="AZ196" s="383" t="s">
        <v>743</v>
      </c>
      <c r="BA196" s="368"/>
      <c r="BB196" s="376"/>
      <c r="BC196" t="s">
        <v>135</v>
      </c>
      <c r="BD196" s="42">
        <f>(1-BD202)*BD193*'M1 - TK'!$B$16*(44/28)</f>
        <v>0</v>
      </c>
      <c r="BE196" s="42">
        <f>(1-BE202)*BE193*'M1 - TK'!$B$16*(44/28)</f>
        <v>0</v>
      </c>
      <c r="BF196" s="42">
        <f>(1-BF202)*BF193*'M1 - TK'!$B$16*(44/28)</f>
        <v>0</v>
      </c>
      <c r="BG196" s="42">
        <f>(1-BG202)*BG193*'M1 - TK'!$B$16*(44/28)</f>
        <v>0</v>
      </c>
      <c r="BH196" s="42">
        <f>(1-BH202)*BH193*'M1 - TK'!$B$16*(44/28)</f>
        <v>0</v>
      </c>
      <c r="BI196" s="42">
        <f>(1-BI202)*BI193*'M1 - TK'!$B$16*(44/28)</f>
        <v>0</v>
      </c>
      <c r="BJ196" s="42">
        <f>(1-BJ202)*BJ193*'M1 - TK'!$B$16*(44/28)</f>
        <v>0</v>
      </c>
      <c r="BK196" s="42">
        <f>(1-BK202)*BK193*'M1 - TK'!$B$16*(44/28)</f>
        <v>0</v>
      </c>
      <c r="BL196" s="42">
        <f>(1-BL202)*BL193*'M1 - TK'!$B$16*(44/28)</f>
        <v>0</v>
      </c>
      <c r="BM196" s="42">
        <f>(1-BM202)*BM193*'M1 - TK'!$B$16*(44/28)</f>
        <v>0</v>
      </c>
      <c r="BN196" s="42">
        <f>(1-BN202)*BN193*'M1 - TK'!$B$16*(44/28)</f>
        <v>0</v>
      </c>
      <c r="BO196" s="42">
        <f>(1-BO202)*BO193*'M1 - TK'!$B$16*(44/28)</f>
        <v>0</v>
      </c>
      <c r="BP196" s="444">
        <f>SUM(BD196:BO198)</f>
        <v>0</v>
      </c>
      <c r="BQ196" s="20"/>
      <c r="BR196">
        <f>Loomakasvatus!AI56</f>
        <v>0</v>
      </c>
      <c r="BS196">
        <f>Loomakasvatus!AJ56/1000</f>
        <v>0</v>
      </c>
      <c r="BT196">
        <f>IFERROR(VLOOKUP(BR196,Ettev_kalk!$CK$55:$CL$82,2,FALSE),0)</f>
        <v>0</v>
      </c>
      <c r="BU196">
        <f t="shared" ref="BU196:BU204" si="57">BT196*BS196</f>
        <v>0</v>
      </c>
      <c r="BV196" s="21"/>
    </row>
    <row r="197" spans="1:74">
      <c r="A197" s="382" t="s">
        <v>446</v>
      </c>
      <c r="B197" s="383" t="s">
        <v>755</v>
      </c>
      <c r="C197" s="368"/>
      <c r="D197" s="379"/>
      <c r="E197" t="s">
        <v>299</v>
      </c>
      <c r="F197" s="42">
        <f>(1-F202)*F193*'M1 - TK'!$B$25*'M1 - TK'!$B$20*(44/28)</f>
        <v>0</v>
      </c>
      <c r="G197" s="42">
        <f>(1-G202)*G193*'M1 - TK'!$B$25*'M1 - TK'!$B$20*(44/28)</f>
        <v>0</v>
      </c>
      <c r="H197" s="42">
        <f>(1-H202)*H193*'M1 - TK'!$B$25*'M1 - TK'!$B$20*(44/28)</f>
        <v>0</v>
      </c>
      <c r="I197" s="42">
        <f>(1-I202)*I193*'M1 - TK'!$B$25*'M1 - TK'!$B$20*(44/28)</f>
        <v>0</v>
      </c>
      <c r="J197" s="42">
        <f>(1-J202)*J193*'M1 - TK'!$B$25*'M1 - TK'!$B$20*(44/28)</f>
        <v>0</v>
      </c>
      <c r="K197" s="42">
        <f>(1-K202)*K193*'M1 - TK'!$B$25*'M1 - TK'!$B$20*(44/28)</f>
        <v>0</v>
      </c>
      <c r="L197" s="42">
        <f>(1-L202)*L193*'M1 - TK'!$B$25*'M1 - TK'!$B$20*(44/28)</f>
        <v>0</v>
      </c>
      <c r="M197" s="42">
        <f>(1-M202)*M193*'M1 - TK'!$B$25*'M1 - TK'!$B$20*(44/28)</f>
        <v>0</v>
      </c>
      <c r="N197" s="42">
        <f>(1-N202)*N193*'M1 - TK'!$B$25*'M1 - TK'!$B$20*(44/28)</f>
        <v>0</v>
      </c>
      <c r="O197" s="42">
        <f>(1-O202)*O193*'M1 - TK'!$B$25*'M1 - TK'!$B$20*(44/28)</f>
        <v>0</v>
      </c>
      <c r="P197" s="42">
        <f>(1-P202)*P193*'M1 - TK'!$B$25*'M1 - TK'!$B$20*(44/28)</f>
        <v>0</v>
      </c>
      <c r="Q197" s="42">
        <f>(1-Q202)*Q193*'M1 - TK'!$B$25*'M1 - TK'!$B$20*(44/28)</f>
        <v>0</v>
      </c>
      <c r="S197" s="20"/>
      <c r="T197">
        <f>Loomakasvatus!C57</f>
        <v>0</v>
      </c>
      <c r="U197">
        <f>Loomakasvatus!D57/1000</f>
        <v>0</v>
      </c>
      <c r="V197">
        <f>IFERROR(VLOOKUP(T197,Ettev_kalk!$CK$55:$CL$82,2,FALSE),0)</f>
        <v>0</v>
      </c>
      <c r="W197">
        <f t="shared" si="38"/>
        <v>0</v>
      </c>
      <c r="X197" s="21"/>
      <c r="Z197" s="382" t="s">
        <v>446</v>
      </c>
      <c r="AA197" s="383" t="s">
        <v>755</v>
      </c>
      <c r="AB197" s="368"/>
      <c r="AC197" s="379"/>
      <c r="AD197" t="s">
        <v>299</v>
      </c>
      <c r="AE197" s="42">
        <f>(1-AE202)*AE193*'M1 - TK'!$B$25*'M1 - TK'!$B$20*(44/28)</f>
        <v>0</v>
      </c>
      <c r="AF197" s="42">
        <f>(1-AF202)*AF193*'M1 - TK'!$B$25*'M1 - TK'!$B$20*(44/28)</f>
        <v>0</v>
      </c>
      <c r="AG197" s="42">
        <f>(1-AG202)*AG193*'M1 - TK'!$B$25*'M1 - TK'!$B$20*(44/28)</f>
        <v>0</v>
      </c>
      <c r="AH197" s="42">
        <f>(1-AH202)*AH193*'M1 - TK'!$B$25*'M1 - TK'!$B$20*(44/28)</f>
        <v>0</v>
      </c>
      <c r="AI197" s="42">
        <f>(1-AI202)*AI193*'M1 - TK'!$B$25*'M1 - TK'!$B$20*(44/28)</f>
        <v>0</v>
      </c>
      <c r="AJ197" s="42">
        <f>(1-AJ202)*AJ193*'M1 - TK'!$B$25*'M1 - TK'!$B$20*(44/28)</f>
        <v>0</v>
      </c>
      <c r="AK197" s="42">
        <f>(1-AK202)*AK193*'M1 - TK'!$B$25*'M1 - TK'!$B$20*(44/28)</f>
        <v>0</v>
      </c>
      <c r="AL197" s="42">
        <f>(1-AL202)*AL193*'M1 - TK'!$B$25*'M1 - TK'!$B$20*(44/28)</f>
        <v>0</v>
      </c>
      <c r="AM197" s="42">
        <f>(1-AM202)*AM193*'M1 - TK'!$B$25*'M1 - TK'!$B$20*(44/28)</f>
        <v>0</v>
      </c>
      <c r="AN197" s="42">
        <f>(1-AN202)*AN193*'M1 - TK'!$B$25*'M1 - TK'!$B$20*(44/28)</f>
        <v>0</v>
      </c>
      <c r="AO197" s="42">
        <f>(1-AO202)*AO193*'M1 - TK'!$B$25*'M1 - TK'!$B$20*(44/28)</f>
        <v>0</v>
      </c>
      <c r="AP197" s="42">
        <f>(1-AP202)*AP193*'M1 - TK'!$B$25*'M1 - TK'!$B$20*(44/28)</f>
        <v>0</v>
      </c>
      <c r="AR197" s="20"/>
      <c r="AS197">
        <f>Loomakasvatus!S57</f>
        <v>0</v>
      </c>
      <c r="AT197">
        <f>Loomakasvatus!T57/1000</f>
        <v>0</v>
      </c>
      <c r="AU197">
        <f>IFERROR(VLOOKUP(AS197,Ettev_kalk!$CK$55:$CL$82,2,FALSE),0)</f>
        <v>0</v>
      </c>
      <c r="AV197">
        <f t="shared" si="56"/>
        <v>0</v>
      </c>
      <c r="AW197" s="21"/>
      <c r="AY197" s="382" t="s">
        <v>446</v>
      </c>
      <c r="AZ197" s="383" t="s">
        <v>755</v>
      </c>
      <c r="BA197" s="368"/>
      <c r="BB197" s="379"/>
      <c r="BC197" t="s">
        <v>299</v>
      </c>
      <c r="BD197" s="42">
        <f>(1-BD202)*BD193*'M1 - TK'!$B$25*'M1 - TK'!$B$20*(44/28)</f>
        <v>0</v>
      </c>
      <c r="BE197" s="42">
        <f>(1-BE202)*BE193*'M1 - TK'!$B$25*'M1 - TK'!$B$20*(44/28)</f>
        <v>0</v>
      </c>
      <c r="BF197" s="42">
        <f>(1-BF202)*BF193*'M1 - TK'!$B$25*'M1 - TK'!$B$20*(44/28)</f>
        <v>0</v>
      </c>
      <c r="BG197" s="42">
        <f>(1-BG202)*BG193*'M1 - TK'!$B$25*'M1 - TK'!$B$20*(44/28)</f>
        <v>0</v>
      </c>
      <c r="BH197" s="42">
        <f>(1-BH202)*BH193*'M1 - TK'!$B$25*'M1 - TK'!$B$20*(44/28)</f>
        <v>0</v>
      </c>
      <c r="BI197" s="42">
        <f>(1-BI202)*BI193*'M1 - TK'!$B$25*'M1 - TK'!$B$20*(44/28)</f>
        <v>0</v>
      </c>
      <c r="BJ197" s="42">
        <f>(1-BJ202)*BJ193*'M1 - TK'!$B$25*'M1 - TK'!$B$20*(44/28)</f>
        <v>0</v>
      </c>
      <c r="BK197" s="42">
        <f>(1-BK202)*BK193*'M1 - TK'!$B$25*'M1 - TK'!$B$20*(44/28)</f>
        <v>0</v>
      </c>
      <c r="BL197" s="42">
        <f>(1-BL202)*BL193*'M1 - TK'!$B$25*'M1 - TK'!$B$20*(44/28)</f>
        <v>0</v>
      </c>
      <c r="BM197" s="42">
        <f>(1-BM202)*BM193*'M1 - TK'!$B$25*'M1 - TK'!$B$20*(44/28)</f>
        <v>0</v>
      </c>
      <c r="BN197" s="42">
        <f>(1-BN202)*BN193*'M1 - TK'!$B$25*'M1 - TK'!$B$20*(44/28)</f>
        <v>0</v>
      </c>
      <c r="BO197" s="42">
        <f>(1-BO202)*BO193*'M1 - TK'!$B$25*'M1 - TK'!$B$20*(44/28)</f>
        <v>0</v>
      </c>
      <c r="BQ197" s="20"/>
      <c r="BR197">
        <f>Loomakasvatus!AI57</f>
        <v>0</v>
      </c>
      <c r="BS197">
        <f>Loomakasvatus!AJ57/1000</f>
        <v>0</v>
      </c>
      <c r="BT197">
        <f>IFERROR(VLOOKUP(BR197,Ettev_kalk!$CK$55:$CL$82,2,FALSE),0)</f>
        <v>0</v>
      </c>
      <c r="BU197">
        <f t="shared" si="57"/>
        <v>0</v>
      </c>
      <c r="BV197" s="21"/>
    </row>
    <row r="198" spans="1:74" ht="15" thickBot="1">
      <c r="A198" s="384" t="s">
        <v>756</v>
      </c>
      <c r="B198" s="385" t="s">
        <v>757</v>
      </c>
      <c r="C198" s="381"/>
      <c r="D198" s="376"/>
      <c r="E198" t="s">
        <v>758</v>
      </c>
      <c r="F198" s="42">
        <f>(1-F202)*F193*'M1 - TK'!$B$27*'M1 - TK'!$B$21*(44/28)</f>
        <v>0</v>
      </c>
      <c r="G198" s="42">
        <f>(1-G202)*G193*'M1 - TK'!$B$27*'M1 - TK'!$B$21*(44/28)</f>
        <v>0</v>
      </c>
      <c r="H198" s="42">
        <f>(1-H202)*H193*'M1 - TK'!$B$27*'M1 - TK'!$B$21*(44/28)</f>
        <v>0</v>
      </c>
      <c r="I198" s="42">
        <f>(1-I202)*I193*'M1 - TK'!$B$27*'M1 - TK'!$B$21*(44/28)</f>
        <v>0</v>
      </c>
      <c r="J198" s="42">
        <f>(1-J202)*J193*'M1 - TK'!$B$27*'M1 - TK'!$B$21*(44/28)</f>
        <v>0</v>
      </c>
      <c r="K198" s="42">
        <f>(1-K202)*K193*'M1 - TK'!$B$27*'M1 - TK'!$B$21*(44/28)</f>
        <v>0</v>
      </c>
      <c r="L198" s="42">
        <f>(1-L202)*L193*'M1 - TK'!$B$27*'M1 - TK'!$B$21*(44/28)</f>
        <v>0</v>
      </c>
      <c r="M198" s="42">
        <f>(1-M202)*M193*'M1 - TK'!$B$27*'M1 - TK'!$B$21*(44/28)</f>
        <v>0</v>
      </c>
      <c r="N198" s="42">
        <f>(1-N202)*N193*'M1 - TK'!$B$27*'M1 - TK'!$B$21*(44/28)</f>
        <v>0</v>
      </c>
      <c r="O198" s="42">
        <f>(1-O202)*O193*'M1 - TK'!$B$27*'M1 - TK'!$B$21*(44/28)</f>
        <v>0</v>
      </c>
      <c r="P198" s="42">
        <f>(1-P202)*P193*'M1 - TK'!$B$27*'M1 - TK'!$B$21*(44/28)</f>
        <v>0</v>
      </c>
      <c r="Q198" s="42">
        <f>(1-Q202)*Q193*'M1 - TK'!$B$27*'M1 - TK'!$B$21*(44/28)</f>
        <v>0</v>
      </c>
      <c r="S198" s="20"/>
      <c r="T198">
        <f>Loomakasvatus!C58</f>
        <v>0</v>
      </c>
      <c r="U198">
        <f>Loomakasvatus!D58/1000</f>
        <v>0</v>
      </c>
      <c r="V198">
        <f>IFERROR(VLOOKUP(T198,Ettev_kalk!$CK$55:$CL$82,2,FALSE),0)</f>
        <v>0</v>
      </c>
      <c r="W198">
        <f t="shared" si="38"/>
        <v>0</v>
      </c>
      <c r="X198" s="21"/>
      <c r="Z198" s="384" t="s">
        <v>756</v>
      </c>
      <c r="AA198" s="385" t="s">
        <v>757</v>
      </c>
      <c r="AB198" s="381"/>
      <c r="AC198" s="376"/>
      <c r="AD198" t="s">
        <v>758</v>
      </c>
      <c r="AE198" s="42">
        <f>(1-AE202)*AE193*'M1 - TK'!$B$27*'M1 - TK'!$B$21*(44/28)</f>
        <v>0</v>
      </c>
      <c r="AF198" s="42">
        <f>(1-AF202)*AF193*'M1 - TK'!$B$27*'M1 - TK'!$B$21*(44/28)</f>
        <v>0</v>
      </c>
      <c r="AG198" s="42">
        <f>(1-AG202)*AG193*'M1 - TK'!$B$27*'M1 - TK'!$B$21*(44/28)</f>
        <v>0</v>
      </c>
      <c r="AH198" s="42">
        <f>(1-AH202)*AH193*'M1 - TK'!$B$27*'M1 - TK'!$B$21*(44/28)</f>
        <v>0</v>
      </c>
      <c r="AI198" s="42">
        <f>(1-AI202)*AI193*'M1 - TK'!$B$27*'M1 - TK'!$B$21*(44/28)</f>
        <v>0</v>
      </c>
      <c r="AJ198" s="42">
        <f>(1-AJ202)*AJ193*'M1 - TK'!$B$27*'M1 - TK'!$B$21*(44/28)</f>
        <v>0</v>
      </c>
      <c r="AK198" s="42">
        <f>(1-AK202)*AK193*'M1 - TK'!$B$27*'M1 - TK'!$B$21*(44/28)</f>
        <v>0</v>
      </c>
      <c r="AL198" s="42">
        <f>(1-AL202)*AL193*'M1 - TK'!$B$27*'M1 - TK'!$B$21*(44/28)</f>
        <v>0</v>
      </c>
      <c r="AM198" s="42">
        <f>(1-AM202)*AM193*'M1 - TK'!$B$27*'M1 - TK'!$B$21*(44/28)</f>
        <v>0</v>
      </c>
      <c r="AN198" s="42">
        <f>(1-AN202)*AN193*'M1 - TK'!$B$27*'M1 - TK'!$B$21*(44/28)</f>
        <v>0</v>
      </c>
      <c r="AO198" s="42">
        <f>(1-AO202)*AO193*'M1 - TK'!$B$27*'M1 - TK'!$B$21*(44/28)</f>
        <v>0</v>
      </c>
      <c r="AP198" s="42">
        <f>(1-AP202)*AP193*'M1 - TK'!$B$27*'M1 - TK'!$B$21*(44/28)</f>
        <v>0</v>
      </c>
      <c r="AR198" s="20"/>
      <c r="AS198">
        <f>Loomakasvatus!S58</f>
        <v>0</v>
      </c>
      <c r="AT198">
        <f>Loomakasvatus!T58/1000</f>
        <v>0</v>
      </c>
      <c r="AU198">
        <f>IFERROR(VLOOKUP(AS198,Ettev_kalk!$CK$55:$CL$82,2,FALSE),0)</f>
        <v>0</v>
      </c>
      <c r="AV198">
        <f t="shared" si="56"/>
        <v>0</v>
      </c>
      <c r="AW198" s="21"/>
      <c r="AY198" s="384" t="s">
        <v>756</v>
      </c>
      <c r="AZ198" s="385" t="s">
        <v>757</v>
      </c>
      <c r="BA198" s="381"/>
      <c r="BB198" s="376"/>
      <c r="BC198" t="s">
        <v>758</v>
      </c>
      <c r="BD198" s="42">
        <f>(1-BD202)*BD193*'M1 - TK'!$B$27*'M1 - TK'!$B$21*(44/28)</f>
        <v>0</v>
      </c>
      <c r="BE198" s="42">
        <f>(1-BE202)*BE193*'M1 - TK'!$B$27*'M1 - TK'!$B$21*(44/28)</f>
        <v>0</v>
      </c>
      <c r="BF198" s="42">
        <f>(1-BF202)*BF193*'M1 - TK'!$B$27*'M1 - TK'!$B$21*(44/28)</f>
        <v>0</v>
      </c>
      <c r="BG198" s="42">
        <f>(1-BG202)*BG193*'M1 - TK'!$B$27*'M1 - TK'!$B$21*(44/28)</f>
        <v>0</v>
      </c>
      <c r="BH198" s="42">
        <f>(1-BH202)*BH193*'M1 - TK'!$B$27*'M1 - TK'!$B$21*(44/28)</f>
        <v>0</v>
      </c>
      <c r="BI198" s="42">
        <f>(1-BI202)*BI193*'M1 - TK'!$B$27*'M1 - TK'!$B$21*(44/28)</f>
        <v>0</v>
      </c>
      <c r="BJ198" s="42">
        <f>(1-BJ202)*BJ193*'M1 - TK'!$B$27*'M1 - TK'!$B$21*(44/28)</f>
        <v>0</v>
      </c>
      <c r="BK198" s="42">
        <f>(1-BK202)*BK193*'M1 - TK'!$B$27*'M1 - TK'!$B$21*(44/28)</f>
        <v>0</v>
      </c>
      <c r="BL198" s="42">
        <f>(1-BL202)*BL193*'M1 - TK'!$B$27*'M1 - TK'!$B$21*(44/28)</f>
        <v>0</v>
      </c>
      <c r="BM198" s="42">
        <f>(1-BM202)*BM193*'M1 - TK'!$B$27*'M1 - TK'!$B$21*(44/28)</f>
        <v>0</v>
      </c>
      <c r="BN198" s="42">
        <f>(1-BN202)*BN193*'M1 - TK'!$B$27*'M1 - TK'!$B$21*(44/28)</f>
        <v>0</v>
      </c>
      <c r="BO198" s="42">
        <f>(1-BO202)*BO193*'M1 - TK'!$B$27*'M1 - TK'!$B$21*(44/28)</f>
        <v>0</v>
      </c>
      <c r="BQ198" s="20"/>
      <c r="BR198">
        <f>Loomakasvatus!AI58</f>
        <v>0</v>
      </c>
      <c r="BS198">
        <f>Loomakasvatus!AJ58/1000</f>
        <v>0</v>
      </c>
      <c r="BT198">
        <f>IFERROR(VLOOKUP(BR198,Ettev_kalk!$CK$55:$CL$82,2,FALSE),0)</f>
        <v>0</v>
      </c>
      <c r="BU198">
        <f t="shared" si="57"/>
        <v>0</v>
      </c>
      <c r="BV198" s="21"/>
    </row>
    <row r="199" spans="1:74" ht="15" thickBot="1">
      <c r="A199" s="1340" t="s">
        <v>759</v>
      </c>
      <c r="B199" s="1340"/>
      <c r="C199" s="1340"/>
      <c r="D199" s="1340"/>
      <c r="S199" s="20"/>
      <c r="T199">
        <f>Loomakasvatus!C59</f>
        <v>0</v>
      </c>
      <c r="U199">
        <f>Loomakasvatus!D59/1000</f>
        <v>0</v>
      </c>
      <c r="V199">
        <f>IFERROR(VLOOKUP(T199,Ettev_kalk!$CK$55:$CL$82,2,FALSE),0)</f>
        <v>0</v>
      </c>
      <c r="W199">
        <f t="shared" si="38"/>
        <v>0</v>
      </c>
      <c r="X199" s="21"/>
      <c r="Z199" s="1340" t="s">
        <v>759</v>
      </c>
      <c r="AA199" s="1340"/>
      <c r="AB199" s="1340"/>
      <c r="AC199" s="1340"/>
      <c r="AR199" s="20"/>
      <c r="AS199">
        <f>Loomakasvatus!S59</f>
        <v>0</v>
      </c>
      <c r="AT199">
        <f>Loomakasvatus!T59/1000</f>
        <v>0</v>
      </c>
      <c r="AU199">
        <f>IFERROR(VLOOKUP(AS199,Ettev_kalk!$CK$55:$CL$82,2,FALSE),0)</f>
        <v>0</v>
      </c>
      <c r="AV199">
        <f t="shared" si="56"/>
        <v>0</v>
      </c>
      <c r="AW199" s="21"/>
      <c r="AY199" s="1340" t="s">
        <v>759</v>
      </c>
      <c r="AZ199" s="1340"/>
      <c r="BA199" s="1340"/>
      <c r="BB199" s="1340"/>
      <c r="BQ199" s="20"/>
      <c r="BR199">
        <f>Loomakasvatus!AI59</f>
        <v>0</v>
      </c>
      <c r="BS199">
        <f>Loomakasvatus!AJ59/1000</f>
        <v>0</v>
      </c>
      <c r="BT199">
        <f>IFERROR(VLOOKUP(BR199,Ettev_kalk!$CK$55:$CL$82,2,FALSE),0)</f>
        <v>0</v>
      </c>
      <c r="BU199">
        <f t="shared" si="57"/>
        <v>0</v>
      </c>
      <c r="BV199" s="21"/>
    </row>
    <row r="200" spans="1:74">
      <c r="A200" s="188" t="s">
        <v>760</v>
      </c>
      <c r="B200" s="189"/>
      <c r="C200" s="189"/>
      <c r="D200" s="190"/>
      <c r="S200" s="20"/>
      <c r="T200">
        <f>Loomakasvatus!C60</f>
        <v>0</v>
      </c>
      <c r="U200">
        <f>Loomakasvatus!D60/1000</f>
        <v>0</v>
      </c>
      <c r="V200">
        <f>IFERROR(VLOOKUP(T200,Ettev_kalk!$CK$55:$CL$82,2,FALSE),0)</f>
        <v>0</v>
      </c>
      <c r="W200">
        <f t="shared" si="38"/>
        <v>0</v>
      </c>
      <c r="X200" s="21"/>
      <c r="Z200" s="188" t="s">
        <v>760</v>
      </c>
      <c r="AA200" s="189"/>
      <c r="AB200" s="189"/>
      <c r="AC200" s="190"/>
      <c r="AR200" s="20"/>
      <c r="AS200">
        <f>Loomakasvatus!S60</f>
        <v>0</v>
      </c>
      <c r="AT200">
        <f>Loomakasvatus!T60/1000</f>
        <v>0</v>
      </c>
      <c r="AU200">
        <f>IFERROR(VLOOKUP(AS200,Ettev_kalk!$CK$55:$CL$82,2,FALSE),0)</f>
        <v>0</v>
      </c>
      <c r="AV200">
        <f t="shared" si="56"/>
        <v>0</v>
      </c>
      <c r="AW200" s="21"/>
      <c r="AY200" s="188" t="s">
        <v>760</v>
      </c>
      <c r="AZ200" s="189"/>
      <c r="BA200" s="189"/>
      <c r="BB200" s="190"/>
      <c r="BQ200" s="20"/>
      <c r="BR200">
        <f>Loomakasvatus!AI60</f>
        <v>0</v>
      </c>
      <c r="BS200">
        <f>Loomakasvatus!AJ60/1000</f>
        <v>0</v>
      </c>
      <c r="BT200">
        <f>IFERROR(VLOOKUP(BR200,Ettev_kalk!$CK$55:$CL$82,2,FALSE),0)</f>
        <v>0</v>
      </c>
      <c r="BU200">
        <f t="shared" si="57"/>
        <v>0</v>
      </c>
      <c r="BV200" s="21"/>
    </row>
    <row r="201" spans="1:74">
      <c r="A201" s="188" t="s">
        <v>761</v>
      </c>
      <c r="B201" s="189"/>
      <c r="C201" s="189"/>
      <c r="D201" s="190"/>
      <c r="F201" s="1" t="str">
        <f>Loomakasvatus!C13</f>
        <v>Piimalehmad (5000 kg)</v>
      </c>
      <c r="G201" s="1" t="str">
        <f>Loomakasvatus!D13</f>
        <v>Piimalehmad (6000 kg)</v>
      </c>
      <c r="H201" s="1" t="str">
        <f>Loomakasvatus!E13</f>
        <v>Piimalehmad (7000 kg)</v>
      </c>
      <c r="I201" s="1" t="str">
        <f>Loomakasvatus!F13</f>
        <v>Piimalehmad (8000 kg)</v>
      </c>
      <c r="J201" s="1" t="str">
        <f>Loomakasvatus!G13</f>
        <v>Piimalehmad (9000 kg)</v>
      </c>
      <c r="K201" s="1" t="str">
        <f>Loomakasvatus!H13</f>
        <v>Piimalehmad (10000 kg)</v>
      </c>
      <c r="L201" s="1" t="str">
        <f>Loomakasvatus!I13</f>
        <v>Ammlehmad</v>
      </c>
      <c r="M201" s="1" t="str">
        <f>Loomakasvatus!J13</f>
        <v>Muud veised</v>
      </c>
      <c r="N201" s="1" t="str">
        <f>Loomakasvatus!K13</f>
        <v>Lehmvasikad</v>
      </c>
      <c r="O201" s="1" t="str">
        <f>Loomakasvatus!L13</f>
        <v>Pullvasikad</v>
      </c>
      <c r="P201" s="1" t="str">
        <f>Loomakasvatus!M13</f>
        <v>Lehmmullikad</v>
      </c>
      <c r="Q201" s="1" t="str">
        <f>Loomakasvatus!N13</f>
        <v>Pullmullikad</v>
      </c>
      <c r="S201" s="20"/>
      <c r="T201">
        <f>Loomakasvatus!C61</f>
        <v>0</v>
      </c>
      <c r="U201">
        <f>Loomakasvatus!D61/1000</f>
        <v>0</v>
      </c>
      <c r="V201">
        <f>IFERROR(VLOOKUP(T201,Ettev_kalk!$CK$55:$CL$82,2,FALSE),0)</f>
        <v>0</v>
      </c>
      <c r="W201">
        <f t="shared" si="38"/>
        <v>0</v>
      </c>
      <c r="X201" s="21"/>
      <c r="Z201" s="188" t="s">
        <v>761</v>
      </c>
      <c r="AA201" s="189"/>
      <c r="AB201" s="189"/>
      <c r="AC201" s="190"/>
      <c r="AE201" s="1" t="str">
        <f>Loomakasvatus!S13</f>
        <v>Piimalehmad (5000 kg)</v>
      </c>
      <c r="AF201" s="1" t="str">
        <f>Loomakasvatus!T13</f>
        <v>Piimalehmad (6000 kg)</v>
      </c>
      <c r="AG201" s="1" t="str">
        <f>Loomakasvatus!U13</f>
        <v>Piimalehmad (7000 kg)</v>
      </c>
      <c r="AH201" s="1" t="str">
        <f>Loomakasvatus!V13</f>
        <v>Piimalehmad (8000 kg)</v>
      </c>
      <c r="AI201" s="1" t="str">
        <f>Loomakasvatus!W13</f>
        <v>Piimalehmad (9000 kg)</v>
      </c>
      <c r="AJ201" s="1" t="str">
        <f>Loomakasvatus!X13</f>
        <v>Piimalehmad (10000 kg)</v>
      </c>
      <c r="AK201" s="1" t="str">
        <f>Loomakasvatus!Y13</f>
        <v>Ammlehmad</v>
      </c>
      <c r="AL201" s="1" t="str">
        <f>Loomakasvatus!Z13</f>
        <v>Muud veised</v>
      </c>
      <c r="AM201" s="1" t="str">
        <f>Loomakasvatus!AA13</f>
        <v>Lehmvasikad</v>
      </c>
      <c r="AN201" s="1" t="str">
        <f>Loomakasvatus!AB13</f>
        <v>Pullvasikad</v>
      </c>
      <c r="AO201" s="1" t="str">
        <f>Loomakasvatus!AC13</f>
        <v>Lehmmullikad</v>
      </c>
      <c r="AP201" s="1" t="str">
        <f>Loomakasvatus!AD13</f>
        <v>Pullmullikad</v>
      </c>
      <c r="AR201" s="20"/>
      <c r="AS201">
        <f>Loomakasvatus!S61</f>
        <v>0</v>
      </c>
      <c r="AT201">
        <f>Loomakasvatus!T61/1000</f>
        <v>0</v>
      </c>
      <c r="AU201">
        <f>IFERROR(VLOOKUP(AS201,Ettev_kalk!$CK$55:$CL$82,2,FALSE),0)</f>
        <v>0</v>
      </c>
      <c r="AV201">
        <f t="shared" si="56"/>
        <v>0</v>
      </c>
      <c r="AW201" s="21"/>
      <c r="AY201" s="188" t="s">
        <v>761</v>
      </c>
      <c r="AZ201" s="189"/>
      <c r="BA201" s="189"/>
      <c r="BB201" s="190"/>
      <c r="BD201" s="1" t="str">
        <f>Loomakasvatus!AI13</f>
        <v>Piimalehmad (5000 kg)</v>
      </c>
      <c r="BE201" s="1" t="str">
        <f>Loomakasvatus!AJ13</f>
        <v>Piimalehmad (6000 kg)</v>
      </c>
      <c r="BF201" s="1" t="str">
        <f>Loomakasvatus!AK13</f>
        <v>Piimalehmad (7000 kg)</v>
      </c>
      <c r="BG201" s="1" t="str">
        <f>Loomakasvatus!AL13</f>
        <v>Piimalehmad (8000 kg)</v>
      </c>
      <c r="BH201" s="1" t="str">
        <f>Loomakasvatus!AM13</f>
        <v>Piimalehmad (9000 kg)</v>
      </c>
      <c r="BI201" s="1" t="str">
        <f>Loomakasvatus!AN13</f>
        <v>Piimalehmad (10000 kg)</v>
      </c>
      <c r="BJ201" s="1" t="str">
        <f>Loomakasvatus!AO13</f>
        <v>Ammlehmad</v>
      </c>
      <c r="BK201" s="1" t="str">
        <f>Loomakasvatus!AP13</f>
        <v>Muud veised</v>
      </c>
      <c r="BL201" s="1" t="str">
        <f>Loomakasvatus!AQ13</f>
        <v>Lehmvasikad</v>
      </c>
      <c r="BM201" s="1" t="str">
        <f>Loomakasvatus!AR13</f>
        <v>Pullvasikad</v>
      </c>
      <c r="BN201" s="1" t="str">
        <f>Loomakasvatus!AS13</f>
        <v>Lehmmullikad</v>
      </c>
      <c r="BO201" s="1" t="str">
        <f>Loomakasvatus!AT13</f>
        <v>Pullmullikad</v>
      </c>
      <c r="BQ201" s="20"/>
      <c r="BR201">
        <f>Loomakasvatus!AI61</f>
        <v>0</v>
      </c>
      <c r="BS201">
        <f>Loomakasvatus!AJ61/1000</f>
        <v>0</v>
      </c>
      <c r="BT201">
        <f>IFERROR(VLOOKUP(BR201,Ettev_kalk!$CK$55:$CL$82,2,FALSE),0)</f>
        <v>0</v>
      </c>
      <c r="BU201">
        <f t="shared" si="57"/>
        <v>0</v>
      </c>
      <c r="BV201" s="21"/>
    </row>
    <row r="202" spans="1:74">
      <c r="A202" s="115" t="s">
        <v>762</v>
      </c>
      <c r="B202" s="31" t="s">
        <v>763</v>
      </c>
      <c r="C202" s="33"/>
      <c r="D202" s="821" t="e">
        <f>1-(D203/365*D204/24)</f>
        <v>#REF!</v>
      </c>
      <c r="F202" s="42">
        <f>1-(F203/365)*(F204/24)</f>
        <v>1</v>
      </c>
      <c r="G202" s="42">
        <f t="shared" ref="G202:Q202" si="58">1-(G203/365)*(G204/24)</f>
        <v>1</v>
      </c>
      <c r="H202" s="42">
        <f t="shared" si="58"/>
        <v>1</v>
      </c>
      <c r="I202" s="42">
        <f t="shared" si="58"/>
        <v>1</v>
      </c>
      <c r="J202" s="42">
        <f t="shared" si="58"/>
        <v>1</v>
      </c>
      <c r="K202" s="42">
        <f t="shared" si="58"/>
        <v>1</v>
      </c>
      <c r="L202" s="42">
        <f t="shared" si="58"/>
        <v>1</v>
      </c>
      <c r="M202" s="42">
        <f t="shared" si="58"/>
        <v>1</v>
      </c>
      <c r="N202" s="42">
        <f t="shared" si="58"/>
        <v>1</v>
      </c>
      <c r="O202" s="42">
        <f t="shared" si="58"/>
        <v>1</v>
      </c>
      <c r="P202" s="42">
        <f t="shared" si="58"/>
        <v>1</v>
      </c>
      <c r="Q202" s="42">
        <f t="shared" si="58"/>
        <v>1</v>
      </c>
      <c r="S202" s="20"/>
      <c r="T202">
        <f>Loomakasvatus!C62</f>
        <v>0</v>
      </c>
      <c r="U202">
        <f>Loomakasvatus!D62/1000</f>
        <v>0</v>
      </c>
      <c r="V202">
        <f>IFERROR(VLOOKUP(T202,Ettev_kalk!$CK$55:$CL$82,2,FALSE),0)</f>
        <v>0</v>
      </c>
      <c r="W202">
        <f t="shared" si="38"/>
        <v>0</v>
      </c>
      <c r="X202" s="21"/>
      <c r="Z202" s="115" t="s">
        <v>762</v>
      </c>
      <c r="AA202" s="31" t="s">
        <v>763</v>
      </c>
      <c r="AB202" s="33"/>
      <c r="AC202" s="821" t="e">
        <f>1-(AC203/365*AC204/24)</f>
        <v>#REF!</v>
      </c>
      <c r="AE202" s="42">
        <f>1-(AE203/365)*(AE204/24)</f>
        <v>1</v>
      </c>
      <c r="AF202" s="42">
        <f t="shared" ref="AF202:AP202" si="59">1-(AF203/365)*(AF204/24)</f>
        <v>1</v>
      </c>
      <c r="AG202" s="42">
        <f t="shared" si="59"/>
        <v>1</v>
      </c>
      <c r="AH202" s="42">
        <f t="shared" si="59"/>
        <v>1</v>
      </c>
      <c r="AI202" s="42">
        <f t="shared" si="59"/>
        <v>1</v>
      </c>
      <c r="AJ202" s="42">
        <f t="shared" si="59"/>
        <v>1</v>
      </c>
      <c r="AK202" s="42">
        <f t="shared" si="59"/>
        <v>1</v>
      </c>
      <c r="AL202" s="42">
        <f t="shared" si="59"/>
        <v>1</v>
      </c>
      <c r="AM202" s="42">
        <f t="shared" si="59"/>
        <v>1</v>
      </c>
      <c r="AN202" s="42">
        <f t="shared" si="59"/>
        <v>1</v>
      </c>
      <c r="AO202" s="42">
        <f t="shared" si="59"/>
        <v>1</v>
      </c>
      <c r="AP202" s="42">
        <f t="shared" si="59"/>
        <v>1</v>
      </c>
      <c r="AR202" s="20"/>
      <c r="AS202">
        <f>Loomakasvatus!S62</f>
        <v>0</v>
      </c>
      <c r="AT202">
        <f>Loomakasvatus!T62/1000</f>
        <v>0</v>
      </c>
      <c r="AU202">
        <f>IFERROR(VLOOKUP(AS202,Ettev_kalk!$CK$55:$CL$82,2,FALSE),0)</f>
        <v>0</v>
      </c>
      <c r="AV202">
        <f t="shared" si="56"/>
        <v>0</v>
      </c>
      <c r="AW202" s="21"/>
      <c r="AY202" s="115" t="s">
        <v>762</v>
      </c>
      <c r="AZ202" s="31" t="s">
        <v>763</v>
      </c>
      <c r="BA202" s="33"/>
      <c r="BB202" s="821" t="e">
        <f>1-(BB203/365*BB204/24)</f>
        <v>#REF!</v>
      </c>
      <c r="BD202" s="42">
        <f>1-(BD203/365)*(BD204/24)</f>
        <v>1</v>
      </c>
      <c r="BE202" s="42">
        <f t="shared" ref="BE202:BO202" si="60">1-(BE203/365)*(BE204/24)</f>
        <v>1</v>
      </c>
      <c r="BF202" s="42">
        <f t="shared" si="60"/>
        <v>1</v>
      </c>
      <c r="BG202" s="42">
        <f t="shared" si="60"/>
        <v>1</v>
      </c>
      <c r="BH202" s="42">
        <f t="shared" si="60"/>
        <v>1</v>
      </c>
      <c r="BI202" s="42">
        <f t="shared" si="60"/>
        <v>1</v>
      </c>
      <c r="BJ202" s="42">
        <f t="shared" si="60"/>
        <v>1</v>
      </c>
      <c r="BK202" s="42">
        <f t="shared" si="60"/>
        <v>1</v>
      </c>
      <c r="BL202" s="42">
        <f t="shared" si="60"/>
        <v>1</v>
      </c>
      <c r="BM202" s="42">
        <f t="shared" si="60"/>
        <v>1</v>
      </c>
      <c r="BN202" s="42">
        <f t="shared" si="60"/>
        <v>1</v>
      </c>
      <c r="BO202" s="42">
        <f t="shared" si="60"/>
        <v>1</v>
      </c>
      <c r="BQ202" s="20"/>
      <c r="BR202">
        <f>Loomakasvatus!AI62</f>
        <v>0</v>
      </c>
      <c r="BS202">
        <f>Loomakasvatus!AJ62/1000</f>
        <v>0</v>
      </c>
      <c r="BT202">
        <f>IFERROR(VLOOKUP(BR202,Ettev_kalk!$CK$55:$CL$82,2,FALSE),0)</f>
        <v>0</v>
      </c>
      <c r="BU202">
        <f t="shared" si="57"/>
        <v>0</v>
      </c>
      <c r="BV202" s="21"/>
    </row>
    <row r="203" spans="1:74">
      <c r="A203" s="115" t="s">
        <v>764</v>
      </c>
      <c r="B203" s="31" t="s">
        <v>765</v>
      </c>
      <c r="C203" s="33"/>
      <c r="D203" s="816" t="e">
        <f>Loomakasvatus!#REF!</f>
        <v>#REF!</v>
      </c>
      <c r="F203" s="811">
        <f>Loomakasvatus!C22</f>
        <v>0</v>
      </c>
      <c r="G203" s="811">
        <f>Loomakasvatus!D22</f>
        <v>0</v>
      </c>
      <c r="H203" s="811">
        <f>Loomakasvatus!E22</f>
        <v>0</v>
      </c>
      <c r="I203" s="811">
        <f>Loomakasvatus!F22</f>
        <v>0</v>
      </c>
      <c r="J203" s="811">
        <f>Loomakasvatus!G22</f>
        <v>0</v>
      </c>
      <c r="K203" s="811">
        <f>Loomakasvatus!H22</f>
        <v>0</v>
      </c>
      <c r="L203" s="811">
        <f>Loomakasvatus!I22</f>
        <v>0</v>
      </c>
      <c r="M203" s="811">
        <f>Loomakasvatus!J22</f>
        <v>0</v>
      </c>
      <c r="N203" s="811">
        <f>Loomakasvatus!K22</f>
        <v>0</v>
      </c>
      <c r="O203" s="811">
        <f>Loomakasvatus!L22</f>
        <v>0</v>
      </c>
      <c r="P203" s="811">
        <f>Loomakasvatus!M22</f>
        <v>0</v>
      </c>
      <c r="Q203" s="811">
        <f>Loomakasvatus!N22</f>
        <v>0</v>
      </c>
      <c r="S203" s="20"/>
      <c r="T203">
        <f>Loomakasvatus!C63</f>
        <v>0</v>
      </c>
      <c r="U203">
        <f>Loomakasvatus!D63/1000</f>
        <v>0</v>
      </c>
      <c r="V203">
        <f>IFERROR(VLOOKUP(T203,Ettev_kalk!$CK$55:$CL$82,2,FALSE),0)</f>
        <v>0</v>
      </c>
      <c r="W203">
        <f t="shared" si="38"/>
        <v>0</v>
      </c>
      <c r="X203" s="21"/>
      <c r="Z203" s="115" t="s">
        <v>764</v>
      </c>
      <c r="AA203" s="31" t="s">
        <v>765</v>
      </c>
      <c r="AB203" s="33"/>
      <c r="AC203" s="816" t="e">
        <f>Loomakasvatus!#REF!</f>
        <v>#REF!</v>
      </c>
      <c r="AE203" s="811">
        <f>Loomakasvatus!S22</f>
        <v>0</v>
      </c>
      <c r="AF203" s="811">
        <f>Loomakasvatus!T22</f>
        <v>0</v>
      </c>
      <c r="AG203" s="811">
        <f>Loomakasvatus!U22</f>
        <v>0</v>
      </c>
      <c r="AH203" s="811">
        <f>Loomakasvatus!V22</f>
        <v>0</v>
      </c>
      <c r="AI203" s="811">
        <f>Loomakasvatus!W22</f>
        <v>0</v>
      </c>
      <c r="AJ203" s="811">
        <f>Loomakasvatus!X22</f>
        <v>0</v>
      </c>
      <c r="AK203" s="811">
        <f>Loomakasvatus!Y22</f>
        <v>0</v>
      </c>
      <c r="AL203" s="811">
        <f>Loomakasvatus!Z22</f>
        <v>0</v>
      </c>
      <c r="AM203" s="811">
        <f>Loomakasvatus!AA22</f>
        <v>0</v>
      </c>
      <c r="AN203" s="811">
        <f>Loomakasvatus!AB22</f>
        <v>0</v>
      </c>
      <c r="AO203" s="811">
        <f>Loomakasvatus!AC22</f>
        <v>0</v>
      </c>
      <c r="AP203" s="811">
        <f>Loomakasvatus!AD22</f>
        <v>0</v>
      </c>
      <c r="AR203" s="20"/>
      <c r="AS203">
        <f>Loomakasvatus!S63</f>
        <v>0</v>
      </c>
      <c r="AT203">
        <f>Loomakasvatus!T63/1000</f>
        <v>0</v>
      </c>
      <c r="AU203">
        <f>IFERROR(VLOOKUP(AS203,Ettev_kalk!$CK$55:$CL$82,2,FALSE),0)</f>
        <v>0</v>
      </c>
      <c r="AV203">
        <f t="shared" si="56"/>
        <v>0</v>
      </c>
      <c r="AW203" s="21"/>
      <c r="AY203" s="115" t="s">
        <v>764</v>
      </c>
      <c r="AZ203" s="31" t="s">
        <v>765</v>
      </c>
      <c r="BA203" s="33"/>
      <c r="BB203" s="816" t="e">
        <f>Loomakasvatus!#REF!</f>
        <v>#REF!</v>
      </c>
      <c r="BD203" s="811">
        <f>Loomakasvatus!AI22</f>
        <v>0</v>
      </c>
      <c r="BE203" s="811">
        <f>Loomakasvatus!AJ22</f>
        <v>0</v>
      </c>
      <c r="BF203" s="811">
        <f>Loomakasvatus!AK22</f>
        <v>0</v>
      </c>
      <c r="BG203" s="811">
        <f>Loomakasvatus!AL22</f>
        <v>0</v>
      </c>
      <c r="BH203" s="811">
        <f>Loomakasvatus!AM22</f>
        <v>0</v>
      </c>
      <c r="BI203" s="811">
        <f>Loomakasvatus!AN22</f>
        <v>0</v>
      </c>
      <c r="BJ203" s="811">
        <f>Loomakasvatus!AO22</f>
        <v>0</v>
      </c>
      <c r="BK203" s="811">
        <f>Loomakasvatus!AP22</f>
        <v>0</v>
      </c>
      <c r="BL203" s="811">
        <f>Loomakasvatus!AQ22</f>
        <v>0</v>
      </c>
      <c r="BM203" s="811">
        <f>Loomakasvatus!AR22</f>
        <v>0</v>
      </c>
      <c r="BN203" s="811">
        <f>Loomakasvatus!AS22</f>
        <v>0</v>
      </c>
      <c r="BO203" s="811">
        <f>Loomakasvatus!AT22</f>
        <v>0</v>
      </c>
      <c r="BQ203" s="20"/>
      <c r="BR203">
        <f>Loomakasvatus!AI63</f>
        <v>0</v>
      </c>
      <c r="BS203">
        <f>Loomakasvatus!AJ63/1000</f>
        <v>0</v>
      </c>
      <c r="BT203">
        <f>IFERROR(VLOOKUP(BR203,Ettev_kalk!$CK$55:$CL$82,2,FALSE),0)</f>
        <v>0</v>
      </c>
      <c r="BU203">
        <f t="shared" si="57"/>
        <v>0</v>
      </c>
      <c r="BV203" s="21"/>
    </row>
    <row r="204" spans="1:74" ht="15" thickBot="1">
      <c r="A204" s="115" t="s">
        <v>766</v>
      </c>
      <c r="B204" s="31" t="s">
        <v>767</v>
      </c>
      <c r="C204" s="33"/>
      <c r="D204" s="816" t="e">
        <f>Loomakasvatus!#REF!</f>
        <v>#REF!</v>
      </c>
      <c r="F204" s="811">
        <f>Loomakasvatus!C23</f>
        <v>0</v>
      </c>
      <c r="G204" s="811">
        <f>Loomakasvatus!D23</f>
        <v>0</v>
      </c>
      <c r="H204" s="811">
        <f>Loomakasvatus!E23</f>
        <v>0</v>
      </c>
      <c r="I204" s="811">
        <f>Loomakasvatus!F23</f>
        <v>0</v>
      </c>
      <c r="J204" s="811">
        <f>Loomakasvatus!G23</f>
        <v>0</v>
      </c>
      <c r="K204" s="811">
        <f>Loomakasvatus!H23</f>
        <v>0</v>
      </c>
      <c r="L204" s="811">
        <f>Loomakasvatus!I23</f>
        <v>0</v>
      </c>
      <c r="M204" s="811">
        <f>Loomakasvatus!J23</f>
        <v>0</v>
      </c>
      <c r="N204" s="811">
        <f>Loomakasvatus!K23</f>
        <v>0</v>
      </c>
      <c r="O204" s="811">
        <f>Loomakasvatus!L23</f>
        <v>0</v>
      </c>
      <c r="P204" s="811">
        <f>Loomakasvatus!M23</f>
        <v>0</v>
      </c>
      <c r="Q204" s="811">
        <f>Loomakasvatus!N23</f>
        <v>0</v>
      </c>
      <c r="S204" s="58"/>
      <c r="T204" s="36">
        <f>Loomakasvatus!C64</f>
        <v>0</v>
      </c>
      <c r="U204">
        <f>Loomakasvatus!D64/1000</f>
        <v>0</v>
      </c>
      <c r="V204" s="36">
        <f>IFERROR(VLOOKUP(T204,Ettev_kalk!$CK$55:$CL$82,2,FALSE),0)</f>
        <v>0</v>
      </c>
      <c r="W204" s="36">
        <f t="shared" si="38"/>
        <v>0</v>
      </c>
      <c r="X204" s="37"/>
      <c r="Z204" s="115" t="s">
        <v>766</v>
      </c>
      <c r="AA204" s="31" t="s">
        <v>767</v>
      </c>
      <c r="AB204" s="33"/>
      <c r="AC204" s="816" t="e">
        <f>Loomakasvatus!#REF!</f>
        <v>#REF!</v>
      </c>
      <c r="AE204" s="811">
        <f>Loomakasvatus!S23</f>
        <v>0</v>
      </c>
      <c r="AF204" s="811">
        <f>Loomakasvatus!T23</f>
        <v>0</v>
      </c>
      <c r="AG204" s="811">
        <f>Loomakasvatus!U23</f>
        <v>0</v>
      </c>
      <c r="AH204" s="811">
        <f>Loomakasvatus!V23</f>
        <v>0</v>
      </c>
      <c r="AI204" s="811">
        <f>Loomakasvatus!W23</f>
        <v>0</v>
      </c>
      <c r="AJ204" s="811">
        <f>Loomakasvatus!X23</f>
        <v>0</v>
      </c>
      <c r="AK204" s="811">
        <f>Loomakasvatus!Y23</f>
        <v>0</v>
      </c>
      <c r="AL204" s="811">
        <f>Loomakasvatus!Z23</f>
        <v>0</v>
      </c>
      <c r="AM204" s="811">
        <f>Loomakasvatus!AA23</f>
        <v>0</v>
      </c>
      <c r="AN204" s="811">
        <f>Loomakasvatus!AB23</f>
        <v>0</v>
      </c>
      <c r="AO204" s="811">
        <f>Loomakasvatus!AC23</f>
        <v>0</v>
      </c>
      <c r="AP204" s="811">
        <f>Loomakasvatus!AD23</f>
        <v>0</v>
      </c>
      <c r="AR204" s="58"/>
      <c r="AS204" s="36">
        <f>Loomakasvatus!S64</f>
        <v>0</v>
      </c>
      <c r="AT204">
        <f>Loomakasvatus!T64/1000</f>
        <v>0</v>
      </c>
      <c r="AU204" s="36">
        <f>IFERROR(VLOOKUP(AS204,Ettev_kalk!$CK$55:$CL$82,2,FALSE),0)</f>
        <v>0</v>
      </c>
      <c r="AV204" s="36">
        <f t="shared" si="56"/>
        <v>0</v>
      </c>
      <c r="AW204" s="37"/>
      <c r="AY204" s="115" t="s">
        <v>766</v>
      </c>
      <c r="AZ204" s="31" t="s">
        <v>767</v>
      </c>
      <c r="BA204" s="33"/>
      <c r="BB204" s="816" t="e">
        <f>Loomakasvatus!#REF!</f>
        <v>#REF!</v>
      </c>
      <c r="BD204" s="811">
        <f>Loomakasvatus!AI23</f>
        <v>0</v>
      </c>
      <c r="BE204" s="811">
        <f>Loomakasvatus!AJ23</f>
        <v>0</v>
      </c>
      <c r="BF204" s="811">
        <f>Loomakasvatus!AK23</f>
        <v>0</v>
      </c>
      <c r="BG204" s="811">
        <f>Loomakasvatus!AL23</f>
        <v>0</v>
      </c>
      <c r="BH204" s="811">
        <f>Loomakasvatus!AM23</f>
        <v>0</v>
      </c>
      <c r="BI204" s="811">
        <f>Loomakasvatus!AN23</f>
        <v>0</v>
      </c>
      <c r="BJ204" s="811">
        <f>Loomakasvatus!AO23</f>
        <v>0</v>
      </c>
      <c r="BK204" s="811">
        <f>Loomakasvatus!AP23</f>
        <v>0</v>
      </c>
      <c r="BL204" s="811">
        <f>Loomakasvatus!AQ23</f>
        <v>0</v>
      </c>
      <c r="BM204" s="811">
        <f>Loomakasvatus!AR23</f>
        <v>0</v>
      </c>
      <c r="BN204" s="811">
        <f>Loomakasvatus!AS23</f>
        <v>0</v>
      </c>
      <c r="BO204" s="811">
        <f>Loomakasvatus!AT23</f>
        <v>0</v>
      </c>
      <c r="BQ204" s="58"/>
      <c r="BR204" s="36">
        <f>Loomakasvatus!AI64</f>
        <v>0</v>
      </c>
      <c r="BS204">
        <f>Loomakasvatus!AJ64/1000</f>
        <v>0</v>
      </c>
      <c r="BT204" s="36">
        <f>IFERROR(VLOOKUP(BR204,Ettev_kalk!$CK$55:$CL$82,2,FALSE),0)</f>
        <v>0</v>
      </c>
      <c r="BU204" s="36">
        <f t="shared" si="57"/>
        <v>0</v>
      </c>
      <c r="BV204" s="37"/>
    </row>
    <row r="205" spans="1:74">
      <c r="A205" s="188" t="s">
        <v>768</v>
      </c>
      <c r="B205" s="189"/>
      <c r="C205" s="189"/>
      <c r="D205" s="190"/>
      <c r="S205" s="20"/>
      <c r="T205" t="str">
        <f>Loomakasvatus!C65</f>
        <v>Muu sööt</v>
      </c>
      <c r="U205" t="str">
        <f>Loomakasvatus!D65</f>
        <v>Kogus (kg)</v>
      </c>
      <c r="X205" s="21"/>
      <c r="Z205" s="188" t="s">
        <v>768</v>
      </c>
      <c r="AA205" s="189"/>
      <c r="AB205" s="189"/>
      <c r="AC205" s="190"/>
      <c r="AR205" s="20"/>
      <c r="AS205" t="str">
        <f>Loomakasvatus!S65</f>
        <v>Muu sööt</v>
      </c>
      <c r="AT205" t="str">
        <f>Loomakasvatus!T65</f>
        <v>Kogus (kg)</v>
      </c>
      <c r="AW205" s="21"/>
      <c r="AY205" s="188" t="s">
        <v>768</v>
      </c>
      <c r="AZ205" s="189"/>
      <c r="BA205" s="189"/>
      <c r="BB205" s="190"/>
      <c r="BQ205" s="20"/>
      <c r="BR205" t="str">
        <f>Loomakasvatus!AI65</f>
        <v>Muu sööt</v>
      </c>
      <c r="BS205" t="str">
        <f>Loomakasvatus!AJ65</f>
        <v>Kogus (kg)</v>
      </c>
      <c r="BV205" s="21"/>
    </row>
    <row r="206" spans="1:74">
      <c r="A206" s="188" t="s">
        <v>769</v>
      </c>
      <c r="B206" s="189"/>
      <c r="C206" s="189"/>
      <c r="D206" s="190"/>
      <c r="F206" s="1"/>
      <c r="G206" s="1"/>
      <c r="H206" s="1"/>
      <c r="I206" s="1"/>
      <c r="J206" s="1"/>
      <c r="K206" s="1"/>
      <c r="S206" s="20"/>
      <c r="T206">
        <f>Loomakasvatus!C66</f>
        <v>0</v>
      </c>
      <c r="U206">
        <f>Loomakasvatus!D66</f>
        <v>0</v>
      </c>
      <c r="V206">
        <f>IFERROR(VLOOKUP(T206,'EFid TK'!$B$6:$C$36,2,FALSE),0)</f>
        <v>0</v>
      </c>
      <c r="W206">
        <f t="shared" si="38"/>
        <v>0</v>
      </c>
      <c r="X206" s="21"/>
      <c r="Z206" s="188" t="s">
        <v>769</v>
      </c>
      <c r="AA206" s="189"/>
      <c r="AB206" s="189"/>
      <c r="AC206" s="190"/>
      <c r="AE206" s="1"/>
      <c r="AF206" s="1"/>
      <c r="AG206" s="1"/>
      <c r="AH206" s="1"/>
      <c r="AI206" s="1"/>
      <c r="AJ206" s="1"/>
      <c r="AR206" s="20"/>
      <c r="AS206">
        <f>Loomakasvatus!S66</f>
        <v>0</v>
      </c>
      <c r="AT206">
        <f>Loomakasvatus!T66</f>
        <v>0</v>
      </c>
      <c r="AU206">
        <f>IFERROR(VLOOKUP(AS206,'EFid TK'!$B$6:$C$36,2,FALSE),0)</f>
        <v>0</v>
      </c>
      <c r="AV206">
        <f t="shared" ref="AV206:AV218" si="61">AU206*AT206</f>
        <v>0</v>
      </c>
      <c r="AW206" s="21"/>
      <c r="AY206" s="188" t="s">
        <v>769</v>
      </c>
      <c r="AZ206" s="189"/>
      <c r="BA206" s="189"/>
      <c r="BB206" s="190"/>
      <c r="BD206" s="1"/>
      <c r="BE206" s="1"/>
      <c r="BF206" s="1"/>
      <c r="BG206" s="1"/>
      <c r="BH206" s="1"/>
      <c r="BI206" s="1"/>
      <c r="BQ206" s="20"/>
      <c r="BR206">
        <f>Loomakasvatus!AI66</f>
        <v>0</v>
      </c>
      <c r="BS206">
        <f>Loomakasvatus!AJ66</f>
        <v>0</v>
      </c>
      <c r="BT206">
        <f>IFERROR(VLOOKUP(BR206,'EFid TK'!$B$6:$C$36,2,FALSE),0)</f>
        <v>0</v>
      </c>
      <c r="BU206">
        <f t="shared" ref="BU206:BU218" si="62">BT206*BS206</f>
        <v>0</v>
      </c>
      <c r="BV206" s="21"/>
    </row>
    <row r="207" spans="1:74">
      <c r="A207" s="20" t="s">
        <v>770</v>
      </c>
      <c r="B207" t="s">
        <v>771</v>
      </c>
      <c r="D207" s="815" t="e">
        <f>D208*D211/100*D212</f>
        <v>#REF!</v>
      </c>
      <c r="E207" t="s">
        <v>772</v>
      </c>
      <c r="F207" s="42">
        <f>F208*F209/100*F212</f>
        <v>0</v>
      </c>
      <c r="G207" s="42">
        <f t="shared" ref="G207:Q207" si="63">G208*G209/100*G212</f>
        <v>0</v>
      </c>
      <c r="H207" s="42">
        <f t="shared" si="63"/>
        <v>0</v>
      </c>
      <c r="I207" s="42">
        <f t="shared" si="63"/>
        <v>0</v>
      </c>
      <c r="J207" s="42">
        <f t="shared" si="63"/>
        <v>0</v>
      </c>
      <c r="K207" s="42">
        <f t="shared" si="63"/>
        <v>0</v>
      </c>
      <c r="L207" s="42">
        <f t="shared" si="63"/>
        <v>0</v>
      </c>
      <c r="M207" s="42">
        <f t="shared" si="63"/>
        <v>0</v>
      </c>
      <c r="N207" s="42">
        <f t="shared" si="63"/>
        <v>0</v>
      </c>
      <c r="O207" s="42">
        <f t="shared" si="63"/>
        <v>0</v>
      </c>
      <c r="P207" s="42">
        <f t="shared" si="63"/>
        <v>0</v>
      </c>
      <c r="Q207" s="42">
        <f t="shared" si="63"/>
        <v>0</v>
      </c>
      <c r="S207" s="20"/>
      <c r="T207">
        <f>Loomakasvatus!C67</f>
        <v>0</v>
      </c>
      <c r="U207">
        <f>Loomakasvatus!D67</f>
        <v>0</v>
      </c>
      <c r="V207">
        <f>IFERROR(VLOOKUP(T207,'EFid TK'!$B$6:$C$36,2,FALSE),0)</f>
        <v>0</v>
      </c>
      <c r="W207">
        <f t="shared" si="38"/>
        <v>0</v>
      </c>
      <c r="X207" s="21"/>
      <c r="Z207" s="20" t="s">
        <v>770</v>
      </c>
      <c r="AA207" t="s">
        <v>771</v>
      </c>
      <c r="AC207" s="815" t="e">
        <f>AC208*AC211/100*AC212</f>
        <v>#REF!</v>
      </c>
      <c r="AD207" t="s">
        <v>772</v>
      </c>
      <c r="AE207" s="42">
        <f>AE208*AE209/100*AE212</f>
        <v>0</v>
      </c>
      <c r="AF207" s="42">
        <f t="shared" ref="AF207:AP207" si="64">AF208*AF209/100*AF212</f>
        <v>0</v>
      </c>
      <c r="AG207" s="42">
        <f t="shared" si="64"/>
        <v>0</v>
      </c>
      <c r="AH207" s="42">
        <f t="shared" si="64"/>
        <v>0</v>
      </c>
      <c r="AI207" s="42">
        <f t="shared" si="64"/>
        <v>0</v>
      </c>
      <c r="AJ207" s="42">
        <f t="shared" si="64"/>
        <v>0</v>
      </c>
      <c r="AK207" s="42">
        <f t="shared" si="64"/>
        <v>0</v>
      </c>
      <c r="AL207" s="42">
        <f t="shared" si="64"/>
        <v>0</v>
      </c>
      <c r="AM207" s="42">
        <f t="shared" si="64"/>
        <v>0</v>
      </c>
      <c r="AN207" s="42">
        <f t="shared" si="64"/>
        <v>0</v>
      </c>
      <c r="AO207" s="42">
        <f t="shared" si="64"/>
        <v>0</v>
      </c>
      <c r="AP207" s="42">
        <f t="shared" si="64"/>
        <v>0</v>
      </c>
      <c r="AR207" s="20"/>
      <c r="AS207">
        <f>Loomakasvatus!S67</f>
        <v>0</v>
      </c>
      <c r="AT207">
        <f>Loomakasvatus!T67</f>
        <v>0</v>
      </c>
      <c r="AU207">
        <f>IFERROR(VLOOKUP(AR207,'EFid TK'!$B$6:$C$36,2,FALSE),0)</f>
        <v>0</v>
      </c>
      <c r="AV207">
        <f t="shared" si="61"/>
        <v>0</v>
      </c>
      <c r="AW207" s="21"/>
      <c r="AY207" s="20" t="s">
        <v>770</v>
      </c>
      <c r="AZ207" t="s">
        <v>771</v>
      </c>
      <c r="BB207" s="815" t="e">
        <f>BB208*BB211/100*BB212</f>
        <v>#REF!</v>
      </c>
      <c r="BC207" t="s">
        <v>772</v>
      </c>
      <c r="BD207" s="42">
        <f>BD208*BD209/100*BD212</f>
        <v>0</v>
      </c>
      <c r="BE207" s="42">
        <f t="shared" ref="BE207:BO207" si="65">BE208*BE209/100*BE212</f>
        <v>0</v>
      </c>
      <c r="BF207" s="42">
        <f t="shared" si="65"/>
        <v>0</v>
      </c>
      <c r="BG207" s="42">
        <f t="shared" si="65"/>
        <v>0</v>
      </c>
      <c r="BH207" s="42">
        <f t="shared" si="65"/>
        <v>0</v>
      </c>
      <c r="BI207" s="42">
        <f t="shared" si="65"/>
        <v>0</v>
      </c>
      <c r="BJ207" s="42">
        <f t="shared" si="65"/>
        <v>0</v>
      </c>
      <c r="BK207" s="42">
        <f t="shared" si="65"/>
        <v>0</v>
      </c>
      <c r="BL207" s="42">
        <f t="shared" si="65"/>
        <v>0</v>
      </c>
      <c r="BM207" s="42">
        <f t="shared" si="65"/>
        <v>0</v>
      </c>
      <c r="BN207" s="42">
        <f t="shared" si="65"/>
        <v>0</v>
      </c>
      <c r="BO207" s="42">
        <f t="shared" si="65"/>
        <v>0</v>
      </c>
      <c r="BQ207" s="20"/>
      <c r="BR207">
        <f>Loomakasvatus!AI67</f>
        <v>0</v>
      </c>
      <c r="BS207">
        <f>Loomakasvatus!AJ67</f>
        <v>0</v>
      </c>
      <c r="BT207">
        <f>IFERROR(VLOOKUP(BQ207,'EFid TK'!$B$6:$C$36,2,FALSE),0)</f>
        <v>0</v>
      </c>
      <c r="BU207">
        <f t="shared" si="62"/>
        <v>0</v>
      </c>
      <c r="BV207" s="21"/>
    </row>
    <row r="208" spans="1:74">
      <c r="A208" s="20" t="s">
        <v>742</v>
      </c>
      <c r="B208" t="s">
        <v>743</v>
      </c>
      <c r="D208" s="815">
        <f>D196</f>
        <v>0</v>
      </c>
      <c r="E208" t="s">
        <v>135</v>
      </c>
      <c r="F208" s="811">
        <f>F193</f>
        <v>0</v>
      </c>
      <c r="G208" s="811">
        <f t="shared" ref="G208:Q208" si="66">G193</f>
        <v>0</v>
      </c>
      <c r="H208" s="811">
        <f t="shared" si="66"/>
        <v>0</v>
      </c>
      <c r="I208" s="811">
        <f t="shared" si="66"/>
        <v>0</v>
      </c>
      <c r="J208" s="811">
        <f t="shared" si="66"/>
        <v>0</v>
      </c>
      <c r="K208" s="811">
        <f t="shared" si="66"/>
        <v>0</v>
      </c>
      <c r="L208" s="811">
        <f t="shared" si="66"/>
        <v>0</v>
      </c>
      <c r="M208" s="811">
        <f t="shared" si="66"/>
        <v>0</v>
      </c>
      <c r="N208" s="811">
        <f t="shared" si="66"/>
        <v>0</v>
      </c>
      <c r="O208" s="811">
        <f t="shared" si="66"/>
        <v>0</v>
      </c>
      <c r="P208" s="811">
        <f t="shared" si="66"/>
        <v>0</v>
      </c>
      <c r="Q208" s="811">
        <f t="shared" si="66"/>
        <v>0</v>
      </c>
      <c r="S208" s="20"/>
      <c r="T208">
        <f>Loomakasvatus!C68</f>
        <v>0</v>
      </c>
      <c r="U208">
        <f>Loomakasvatus!D68</f>
        <v>0</v>
      </c>
      <c r="V208">
        <f>IFERROR(VLOOKUP(T208,'EFid TK'!$B$6:$C$36,2,FALSE),0)</f>
        <v>0</v>
      </c>
      <c r="W208">
        <f t="shared" si="38"/>
        <v>0</v>
      </c>
      <c r="X208" s="21"/>
      <c r="Z208" s="20" t="s">
        <v>742</v>
      </c>
      <c r="AA208" t="s">
        <v>743</v>
      </c>
      <c r="AC208" s="815">
        <f>AC196</f>
        <v>0</v>
      </c>
      <c r="AD208" t="s">
        <v>135</v>
      </c>
      <c r="AE208" s="811">
        <f>AE193</f>
        <v>0</v>
      </c>
      <c r="AF208" s="811">
        <f t="shared" ref="AF208:AP208" si="67">AF193</f>
        <v>0</v>
      </c>
      <c r="AG208" s="811">
        <f t="shared" si="67"/>
        <v>0</v>
      </c>
      <c r="AH208" s="811">
        <f t="shared" si="67"/>
        <v>0</v>
      </c>
      <c r="AI208" s="811">
        <f t="shared" si="67"/>
        <v>0</v>
      </c>
      <c r="AJ208" s="811">
        <f t="shared" si="67"/>
        <v>0</v>
      </c>
      <c r="AK208" s="811">
        <f t="shared" si="67"/>
        <v>0</v>
      </c>
      <c r="AL208" s="811">
        <f t="shared" si="67"/>
        <v>0</v>
      </c>
      <c r="AM208" s="811">
        <f t="shared" si="67"/>
        <v>0</v>
      </c>
      <c r="AN208" s="811">
        <f t="shared" si="67"/>
        <v>0</v>
      </c>
      <c r="AO208" s="811">
        <f t="shared" si="67"/>
        <v>0</v>
      </c>
      <c r="AP208" s="811">
        <f t="shared" si="67"/>
        <v>0</v>
      </c>
      <c r="AR208" s="20"/>
      <c r="AS208">
        <f>Loomakasvatus!S68</f>
        <v>0</v>
      </c>
      <c r="AT208">
        <f>Loomakasvatus!T68</f>
        <v>0</v>
      </c>
      <c r="AU208">
        <f>IFERROR(VLOOKUP(AR208,'EFid TK'!$B$6:$C$36,2,FALSE),0)</f>
        <v>0</v>
      </c>
      <c r="AV208">
        <f t="shared" si="61"/>
        <v>0</v>
      </c>
      <c r="AW208" s="21"/>
      <c r="AY208" s="20" t="s">
        <v>742</v>
      </c>
      <c r="AZ208" t="s">
        <v>743</v>
      </c>
      <c r="BB208" s="815">
        <f>BB196</f>
        <v>0</v>
      </c>
      <c r="BC208" t="s">
        <v>135</v>
      </c>
      <c r="BD208" s="811">
        <f>BD193</f>
        <v>0</v>
      </c>
      <c r="BE208" s="811">
        <f t="shared" ref="BE208:BO208" si="68">BE193</f>
        <v>0</v>
      </c>
      <c r="BF208" s="811">
        <f t="shared" si="68"/>
        <v>0</v>
      </c>
      <c r="BG208" s="811">
        <f t="shared" si="68"/>
        <v>0</v>
      </c>
      <c r="BH208" s="811">
        <f t="shared" si="68"/>
        <v>0</v>
      </c>
      <c r="BI208" s="811">
        <f t="shared" si="68"/>
        <v>0</v>
      </c>
      <c r="BJ208" s="811">
        <f t="shared" si="68"/>
        <v>0</v>
      </c>
      <c r="BK208" s="811">
        <f t="shared" si="68"/>
        <v>0</v>
      </c>
      <c r="BL208" s="811">
        <f t="shared" si="68"/>
        <v>0</v>
      </c>
      <c r="BM208" s="811">
        <f t="shared" si="68"/>
        <v>0</v>
      </c>
      <c r="BN208" s="811">
        <f t="shared" si="68"/>
        <v>0</v>
      </c>
      <c r="BO208" s="811">
        <f t="shared" si="68"/>
        <v>0</v>
      </c>
      <c r="BQ208" s="20"/>
      <c r="BR208">
        <f>Loomakasvatus!AI68</f>
        <v>0</v>
      </c>
      <c r="BS208">
        <f>Loomakasvatus!AJ68</f>
        <v>0</v>
      </c>
      <c r="BT208">
        <f>IFERROR(VLOOKUP(BQ208,'EFid TK'!$B$6:$C$36,2,FALSE),0)</f>
        <v>0</v>
      </c>
      <c r="BU208">
        <f t="shared" si="62"/>
        <v>0</v>
      </c>
      <c r="BV208" s="21"/>
    </row>
    <row r="209" spans="1:74">
      <c r="A209" s="115" t="s">
        <v>852</v>
      </c>
      <c r="B209" s="31" t="s">
        <v>853</v>
      </c>
      <c r="D209" s="815" t="e">
        <f>VLOOKUP(Loomakasvatus!#REF!,'M1 - LK'!K146:M153,3,FALSE)</f>
        <v>#REF!</v>
      </c>
      <c r="E209" t="s">
        <v>34</v>
      </c>
      <c r="F209" s="811">
        <f>IFERROR(VLOOKUP(Loomakasvatus!C17,'M1 - LK'!$L$223:$N$230,3,FALSE),0)</f>
        <v>0</v>
      </c>
      <c r="G209" s="811">
        <f>IFERROR(VLOOKUP(Loomakasvatus!D17,'M1 - LK'!$L$223:$N$230,3,FALSE),0)</f>
        <v>0</v>
      </c>
      <c r="H209" s="811">
        <f>IFERROR(VLOOKUP(Loomakasvatus!E17,'M1 - LK'!$L$223:$N$230,3,FALSE),0)</f>
        <v>0</v>
      </c>
      <c r="I209" s="811">
        <f>IFERROR(VLOOKUP(Loomakasvatus!F17,'M1 - LK'!$L$223:$N$230,3,FALSE),0)</f>
        <v>0</v>
      </c>
      <c r="J209" s="811">
        <f>IFERROR(VLOOKUP(Loomakasvatus!G17,'M1 - LK'!$L$223:$N$230,3,FALSE),0)</f>
        <v>0</v>
      </c>
      <c r="K209" s="811">
        <f>IFERROR(VLOOKUP(Loomakasvatus!H17,'M1 - LK'!$L$223:$N$230,3,FALSE),0)</f>
        <v>0</v>
      </c>
      <c r="L209" s="811">
        <f>IFERROR(VLOOKUP(Loomakasvatus!I17,'M1 - LK'!$L$223:$N$230,3,FALSE),0)</f>
        <v>0</v>
      </c>
      <c r="M209" s="811">
        <f>IFERROR(VLOOKUP(Loomakasvatus!J17,'M1 - LK'!$L$223:$N$230,3,FALSE),0)</f>
        <v>0</v>
      </c>
      <c r="N209" s="811">
        <f>IFERROR(VLOOKUP(Loomakasvatus!K17,'M1 - LK'!$L$231:$N$232,3,FALSE),0)</f>
        <v>0</v>
      </c>
      <c r="O209" s="811">
        <f>IFERROR(VLOOKUP(Loomakasvatus!L17,'M1 - LK'!$L$231:$N$232,3,FALSE),0)</f>
        <v>0</v>
      </c>
      <c r="P209" s="811">
        <f>IFERROR(VLOOKUP(Loomakasvatus!M17,'M1 - LK'!$L$223:$N$230,3,FALSE),0)</f>
        <v>0</v>
      </c>
      <c r="Q209" s="811">
        <f>IFERROR(VLOOKUP(Loomakasvatus!N17,'M1 - LK'!$L$223:$N$230,3,FALSE),0)</f>
        <v>0</v>
      </c>
      <c r="S209" s="20"/>
      <c r="T209">
        <f>Loomakasvatus!C69</f>
        <v>0</v>
      </c>
      <c r="U209">
        <f>Loomakasvatus!D69</f>
        <v>0</v>
      </c>
      <c r="V209">
        <f>IFERROR(VLOOKUP(T209,'EFid TK'!$B$6:$C$36,2,FALSE),0)</f>
        <v>0</v>
      </c>
      <c r="W209">
        <f t="shared" si="38"/>
        <v>0</v>
      </c>
      <c r="X209" s="21"/>
      <c r="Z209" s="115" t="s">
        <v>852</v>
      </c>
      <c r="AA209" s="31" t="s">
        <v>853</v>
      </c>
      <c r="AC209" s="815" t="e">
        <f>VLOOKUP(Loomakasvatus!#REF!,'M1 - LK'!AJ146:AL153,3,FALSE)</f>
        <v>#REF!</v>
      </c>
      <c r="AD209" t="s">
        <v>34</v>
      </c>
      <c r="AE209" s="811">
        <f>IFERROR(VLOOKUP(Loomakasvatus!S17,'M1 - LK'!$L$223:$N$230,3,FALSE),0)</f>
        <v>0</v>
      </c>
      <c r="AF209" s="811">
        <f>IFERROR(VLOOKUP(Loomakasvatus!T17,'M1 - LK'!$L$223:$N$230,3,FALSE),0)</f>
        <v>0</v>
      </c>
      <c r="AG209" s="811">
        <f>IFERROR(VLOOKUP(Loomakasvatus!U17,'M1 - LK'!$L$223:$N$230,3,FALSE),0)</f>
        <v>0</v>
      </c>
      <c r="AH209" s="811">
        <f>IFERROR(VLOOKUP(Loomakasvatus!V17,'M1 - LK'!$L$223:$N$230,3,FALSE),0)</f>
        <v>0</v>
      </c>
      <c r="AI209" s="811">
        <f>IFERROR(VLOOKUP(Loomakasvatus!W17,'M1 - LK'!$L$223:$N$230,3,FALSE),0)</f>
        <v>0</v>
      </c>
      <c r="AJ209" s="811">
        <f>IFERROR(VLOOKUP(Loomakasvatus!X17,'M1 - LK'!$L$223:$N$230,3,FALSE),0)</f>
        <v>0</v>
      </c>
      <c r="AK209" s="811">
        <f>IFERROR(VLOOKUP(Loomakasvatus!Y17,'M1 - LK'!$L$223:$N$230,3,FALSE),0)</f>
        <v>0</v>
      </c>
      <c r="AL209" s="811">
        <f>IFERROR(VLOOKUP(Loomakasvatus!Z17,'M1 - LK'!$L$223:$N$230,3,FALSE),0)</f>
        <v>0</v>
      </c>
      <c r="AM209" s="811">
        <f>IFERROR(VLOOKUP(Loomakasvatus!AA17,'M1 - LK'!$L$231:$N$232,3,FALSE),0)</f>
        <v>0</v>
      </c>
      <c r="AN209" s="811">
        <f>IFERROR(VLOOKUP(Loomakasvatus!AB17,'M1 - LK'!$L$231:$N$232,3,FALSE),0)</f>
        <v>0</v>
      </c>
      <c r="AO209" s="811">
        <f>IFERROR(VLOOKUP(Loomakasvatus!AC17,'M1 - LK'!$L$223:$N$230,3,FALSE),0)</f>
        <v>0</v>
      </c>
      <c r="AP209" s="811">
        <f>IFERROR(VLOOKUP(Loomakasvatus!AD17,'M1 - LK'!$L$223:$N$230,3,FALSE),0)</f>
        <v>0</v>
      </c>
      <c r="AR209" s="20"/>
      <c r="AS209">
        <f>Loomakasvatus!S69</f>
        <v>0</v>
      </c>
      <c r="AT209">
        <f>Loomakasvatus!T69</f>
        <v>0</v>
      </c>
      <c r="AU209">
        <f>IFERROR(VLOOKUP(AR209,'EFid TK'!$B$6:$C$36,2,FALSE),0)</f>
        <v>0</v>
      </c>
      <c r="AV209">
        <f t="shared" si="61"/>
        <v>0</v>
      </c>
      <c r="AW209" s="21"/>
      <c r="AY209" s="115" t="s">
        <v>852</v>
      </c>
      <c r="AZ209" s="31" t="s">
        <v>853</v>
      </c>
      <c r="BB209" s="815" t="e">
        <f>VLOOKUP(Loomakasvatus!#REF!,'M1 - LK'!BI146:BK153,3,FALSE)</f>
        <v>#REF!</v>
      </c>
      <c r="BC209" t="s">
        <v>34</v>
      </c>
      <c r="BD209" s="811">
        <f>IFERROR(VLOOKUP(Loomakasvatus!AI17,'M1 - LK'!$L$223:$N$230,3,FALSE),0)</f>
        <v>0</v>
      </c>
      <c r="BE209" s="811">
        <f>IFERROR(VLOOKUP(Loomakasvatus!AJ17,'M1 - LK'!$L$223:$N$230,3,FALSE),0)</f>
        <v>0</v>
      </c>
      <c r="BF209" s="811">
        <f>IFERROR(VLOOKUP(Loomakasvatus!AK17,'M1 - LK'!$L$223:$N$230,3,FALSE),0)</f>
        <v>0</v>
      </c>
      <c r="BG209" s="811">
        <f>IFERROR(VLOOKUP(Loomakasvatus!AL17,'M1 - LK'!$L$223:$N$230,3,FALSE),0)</f>
        <v>0</v>
      </c>
      <c r="BH209" s="811">
        <f>IFERROR(VLOOKUP(Loomakasvatus!AM17,'M1 - LK'!$L$223:$N$230,3,FALSE),0)</f>
        <v>0</v>
      </c>
      <c r="BI209" s="811">
        <f>IFERROR(VLOOKUP(Loomakasvatus!AN17,'M1 - LK'!$L$223:$N$230,3,FALSE),0)</f>
        <v>0</v>
      </c>
      <c r="BJ209" s="811">
        <f>IFERROR(VLOOKUP(Loomakasvatus!AO17,'M1 - LK'!$L$223:$N$230,3,FALSE),0)</f>
        <v>0</v>
      </c>
      <c r="BK209" s="811">
        <f>IFERROR(VLOOKUP(Loomakasvatus!AP17,'M1 - LK'!$L$223:$N$230,3,FALSE),0)</f>
        <v>0</v>
      </c>
      <c r="BL209" s="811">
        <f>IFERROR(VLOOKUP(Loomakasvatus!AQ17,'M1 - LK'!$L$231:$N$232,3,FALSE),0)</f>
        <v>0</v>
      </c>
      <c r="BM209" s="811">
        <f>IFERROR(VLOOKUP(Loomakasvatus!AR17,'M1 - LK'!$L$231:$N$232,3,FALSE),0)</f>
        <v>0</v>
      </c>
      <c r="BN209" s="811">
        <f>IFERROR(VLOOKUP(Loomakasvatus!AS17,'M1 - LK'!$L$223:$N$230,3,FALSE),0)</f>
        <v>0</v>
      </c>
      <c r="BO209" s="811">
        <f>IFERROR(VLOOKUP(Loomakasvatus!AT17,'M1 - LK'!$L$223:$N$230,3,FALSE),0)</f>
        <v>0</v>
      </c>
      <c r="BQ209" s="20"/>
      <c r="BR209">
        <f>Loomakasvatus!AI69</f>
        <v>0</v>
      </c>
      <c r="BS209">
        <f>Loomakasvatus!AJ69</f>
        <v>0</v>
      </c>
      <c r="BT209">
        <f>IFERROR(VLOOKUP(BQ209,'EFid TK'!$B$6:$C$36,2,FALSE),0)</f>
        <v>0</v>
      </c>
      <c r="BU209">
        <f t="shared" si="62"/>
        <v>0</v>
      </c>
      <c r="BV209" s="21"/>
    </row>
    <row r="210" spans="1:74">
      <c r="A210" s="115" t="s">
        <v>854</v>
      </c>
      <c r="B210" s="31" t="s">
        <v>855</v>
      </c>
      <c r="D210" s="815" t="e">
        <f>VLOOKUP(Loomakasvatus!#REF!,'M1 - LK'!K146:M155,3,FALSE)</f>
        <v>#REF!</v>
      </c>
      <c r="E210" t="s">
        <v>34</v>
      </c>
      <c r="S210" s="20"/>
      <c r="T210">
        <f>Loomakasvatus!C70</f>
        <v>0</v>
      </c>
      <c r="U210">
        <f>Loomakasvatus!D70</f>
        <v>0</v>
      </c>
      <c r="V210">
        <f>IFERROR(VLOOKUP(T210,'EFid TK'!$B$6:$C$36,2,FALSE),0)</f>
        <v>0</v>
      </c>
      <c r="W210">
        <f t="shared" si="38"/>
        <v>0</v>
      </c>
      <c r="X210" s="21"/>
      <c r="Z210" s="115" t="s">
        <v>854</v>
      </c>
      <c r="AA210" s="31" t="s">
        <v>855</v>
      </c>
      <c r="AC210" s="815" t="e">
        <f>VLOOKUP(Loomakasvatus!#REF!,'M1 - LK'!AJ146:AL155,3,FALSE)</f>
        <v>#REF!</v>
      </c>
      <c r="AD210" t="s">
        <v>34</v>
      </c>
      <c r="AR210" s="20"/>
      <c r="AS210">
        <f>Loomakasvatus!S70</f>
        <v>0</v>
      </c>
      <c r="AT210">
        <f>Loomakasvatus!T70</f>
        <v>0</v>
      </c>
      <c r="AU210">
        <f>IFERROR(VLOOKUP(AR210,'EFid TK'!$B$6:$C$36,2,FALSE),0)</f>
        <v>0</v>
      </c>
      <c r="AV210">
        <f t="shared" si="61"/>
        <v>0</v>
      </c>
      <c r="AW210" s="21"/>
      <c r="AY210" s="115" t="s">
        <v>854</v>
      </c>
      <c r="AZ210" s="31" t="s">
        <v>855</v>
      </c>
      <c r="BB210" s="815" t="e">
        <f>VLOOKUP(Loomakasvatus!#REF!,'M1 - LK'!BI146:BK155,3,FALSE)</f>
        <v>#REF!</v>
      </c>
      <c r="BC210" t="s">
        <v>34</v>
      </c>
      <c r="BQ210" s="20"/>
      <c r="BR210">
        <f>Loomakasvatus!AI70</f>
        <v>0</v>
      </c>
      <c r="BS210">
        <f>Loomakasvatus!AJ70</f>
        <v>0</v>
      </c>
      <c r="BT210">
        <f>IFERROR(VLOOKUP(BQ210,'EFid TK'!$B$6:$C$36,2,FALSE),0)</f>
        <v>0</v>
      </c>
      <c r="BU210">
        <f t="shared" si="62"/>
        <v>0</v>
      </c>
      <c r="BV210" s="21"/>
    </row>
    <row r="211" spans="1:74">
      <c r="A211" s="115" t="s">
        <v>777</v>
      </c>
      <c r="B211" s="31"/>
      <c r="D211" s="815" t="e">
        <f>AVERAGE(D209:D210)</f>
        <v>#REF!</v>
      </c>
      <c r="E211" t="s">
        <v>34</v>
      </c>
      <c r="S211" s="20"/>
      <c r="T211">
        <f>Loomakasvatus!C71</f>
        <v>0</v>
      </c>
      <c r="U211">
        <f>Loomakasvatus!D71</f>
        <v>0</v>
      </c>
      <c r="V211">
        <f>IFERROR(VLOOKUP(T211,'EFid TK'!$B$6:$C$36,2,FALSE),0)</f>
        <v>0</v>
      </c>
      <c r="W211">
        <f t="shared" si="38"/>
        <v>0</v>
      </c>
      <c r="X211" s="21"/>
      <c r="Z211" s="115" t="s">
        <v>777</v>
      </c>
      <c r="AA211" s="31"/>
      <c r="AC211" s="815" t="e">
        <f>AVERAGE(AC209:AC210)</f>
        <v>#REF!</v>
      </c>
      <c r="AD211" t="s">
        <v>34</v>
      </c>
      <c r="AR211" s="20"/>
      <c r="AS211">
        <f>Loomakasvatus!S71</f>
        <v>0</v>
      </c>
      <c r="AT211">
        <f>Loomakasvatus!T71</f>
        <v>0</v>
      </c>
      <c r="AU211">
        <f>IFERROR(VLOOKUP(AR211,'EFid TK'!$B$6:$C$36,2,FALSE),0)</f>
        <v>0</v>
      </c>
      <c r="AV211">
        <f t="shared" si="61"/>
        <v>0</v>
      </c>
      <c r="AW211" s="21"/>
      <c r="AY211" s="115" t="s">
        <v>777</v>
      </c>
      <c r="AZ211" s="31"/>
      <c r="BB211" s="815" t="e">
        <f>AVERAGE(BB209:BB210)</f>
        <v>#REF!</v>
      </c>
      <c r="BC211" t="s">
        <v>34</v>
      </c>
      <c r="BQ211" s="20"/>
      <c r="BR211">
        <f>Loomakasvatus!AI71</f>
        <v>0</v>
      </c>
      <c r="BS211">
        <f>Loomakasvatus!AJ71</f>
        <v>0</v>
      </c>
      <c r="BT211">
        <f>IFERROR(VLOOKUP(BQ211,'EFid TK'!$B$6:$C$36,2,FALSE),0)</f>
        <v>0</v>
      </c>
      <c r="BU211">
        <f t="shared" si="62"/>
        <v>0</v>
      </c>
      <c r="BV211" s="21"/>
    </row>
    <row r="212" spans="1:74">
      <c r="A212" s="344" t="s">
        <v>762</v>
      </c>
      <c r="B212" s="31" t="s">
        <v>763</v>
      </c>
      <c r="D212" s="815" t="e">
        <f>D202</f>
        <v>#REF!</v>
      </c>
      <c r="E212" t="s">
        <v>36</v>
      </c>
      <c r="F212" s="811">
        <f>F202</f>
        <v>1</v>
      </c>
      <c r="G212" s="811">
        <f t="shared" ref="G212:Q212" si="69">G202</f>
        <v>1</v>
      </c>
      <c r="H212" s="811">
        <f t="shared" si="69"/>
        <v>1</v>
      </c>
      <c r="I212" s="811">
        <f t="shared" si="69"/>
        <v>1</v>
      </c>
      <c r="J212" s="811">
        <f t="shared" si="69"/>
        <v>1</v>
      </c>
      <c r="K212" s="811">
        <f t="shared" si="69"/>
        <v>1</v>
      </c>
      <c r="L212" s="811">
        <f t="shared" si="69"/>
        <v>1</v>
      </c>
      <c r="M212" s="811">
        <f t="shared" si="69"/>
        <v>1</v>
      </c>
      <c r="N212" s="811">
        <f t="shared" si="69"/>
        <v>1</v>
      </c>
      <c r="O212" s="811">
        <f t="shared" si="69"/>
        <v>1</v>
      </c>
      <c r="P212" s="811">
        <f t="shared" si="69"/>
        <v>1</v>
      </c>
      <c r="Q212" s="811">
        <f t="shared" si="69"/>
        <v>1</v>
      </c>
      <c r="S212" s="20"/>
      <c r="T212">
        <f>Loomakasvatus!C72</f>
        <v>0</v>
      </c>
      <c r="U212">
        <f>Loomakasvatus!D72</f>
        <v>0</v>
      </c>
      <c r="V212">
        <f>IFERROR(VLOOKUP(T212,'EFid TK'!$B$6:$C$36,2,FALSE),0)</f>
        <v>0</v>
      </c>
      <c r="W212">
        <f t="shared" si="38"/>
        <v>0</v>
      </c>
      <c r="X212" s="21"/>
      <c r="Z212" s="344" t="s">
        <v>762</v>
      </c>
      <c r="AA212" s="31" t="s">
        <v>763</v>
      </c>
      <c r="AC212" s="815" t="e">
        <f>AC202</f>
        <v>#REF!</v>
      </c>
      <c r="AD212" t="s">
        <v>36</v>
      </c>
      <c r="AE212" s="811">
        <f>AE202</f>
        <v>1</v>
      </c>
      <c r="AF212" s="811">
        <f t="shared" ref="AF212:AP212" si="70">AF202</f>
        <v>1</v>
      </c>
      <c r="AG212" s="811">
        <f t="shared" si="70"/>
        <v>1</v>
      </c>
      <c r="AH212" s="811">
        <f t="shared" si="70"/>
        <v>1</v>
      </c>
      <c r="AI212" s="811">
        <f t="shared" si="70"/>
        <v>1</v>
      </c>
      <c r="AJ212" s="811">
        <f t="shared" si="70"/>
        <v>1</v>
      </c>
      <c r="AK212" s="811">
        <f t="shared" si="70"/>
        <v>1</v>
      </c>
      <c r="AL212" s="811">
        <f t="shared" si="70"/>
        <v>1</v>
      </c>
      <c r="AM212" s="811">
        <f t="shared" si="70"/>
        <v>1</v>
      </c>
      <c r="AN212" s="811">
        <f t="shared" si="70"/>
        <v>1</v>
      </c>
      <c r="AO212" s="811">
        <f t="shared" si="70"/>
        <v>1</v>
      </c>
      <c r="AP212" s="811">
        <f t="shared" si="70"/>
        <v>1</v>
      </c>
      <c r="AR212" s="20"/>
      <c r="AS212">
        <f>Loomakasvatus!S72</f>
        <v>0</v>
      </c>
      <c r="AT212">
        <f>Loomakasvatus!T72</f>
        <v>0</v>
      </c>
      <c r="AU212">
        <f>IFERROR(VLOOKUP(AR212,'EFid TK'!$B$6:$C$36,2,FALSE),0)</f>
        <v>0</v>
      </c>
      <c r="AV212">
        <f t="shared" si="61"/>
        <v>0</v>
      </c>
      <c r="AW212" s="21"/>
      <c r="AY212" s="344" t="s">
        <v>762</v>
      </c>
      <c r="AZ212" s="31" t="s">
        <v>763</v>
      </c>
      <c r="BB212" s="815" t="e">
        <f>BB202</f>
        <v>#REF!</v>
      </c>
      <c r="BC212" t="s">
        <v>36</v>
      </c>
      <c r="BD212" s="811">
        <f>BD202</f>
        <v>1</v>
      </c>
      <c r="BE212" s="811">
        <f t="shared" ref="BE212:BO212" si="71">BE202</f>
        <v>1</v>
      </c>
      <c r="BF212" s="811">
        <f t="shared" si="71"/>
        <v>1</v>
      </c>
      <c r="BG212" s="811">
        <f t="shared" si="71"/>
        <v>1</v>
      </c>
      <c r="BH212" s="811">
        <f t="shared" si="71"/>
        <v>1</v>
      </c>
      <c r="BI212" s="811">
        <f t="shared" si="71"/>
        <v>1</v>
      </c>
      <c r="BJ212" s="811">
        <f t="shared" si="71"/>
        <v>1</v>
      </c>
      <c r="BK212" s="811">
        <f t="shared" si="71"/>
        <v>1</v>
      </c>
      <c r="BL212" s="811">
        <f t="shared" si="71"/>
        <v>1</v>
      </c>
      <c r="BM212" s="811">
        <f t="shared" si="71"/>
        <v>1</v>
      </c>
      <c r="BN212" s="811">
        <f t="shared" si="71"/>
        <v>1</v>
      </c>
      <c r="BO212" s="811">
        <f t="shared" si="71"/>
        <v>1</v>
      </c>
      <c r="BQ212" s="20"/>
      <c r="BR212">
        <f>Loomakasvatus!AI72</f>
        <v>0</v>
      </c>
      <c r="BS212">
        <f>Loomakasvatus!AJ72</f>
        <v>0</v>
      </c>
      <c r="BT212">
        <f>IFERROR(VLOOKUP(BQ212,'EFid TK'!$B$6:$C$36,2,FALSE),0)</f>
        <v>0</v>
      </c>
      <c r="BU212">
        <f t="shared" si="62"/>
        <v>0</v>
      </c>
      <c r="BV212" s="21"/>
    </row>
    <row r="213" spans="1:74">
      <c r="A213" s="188" t="s">
        <v>778</v>
      </c>
      <c r="B213" s="189"/>
      <c r="C213" s="189"/>
      <c r="D213" s="190"/>
      <c r="S213" s="20"/>
      <c r="T213">
        <f>Loomakasvatus!C73</f>
        <v>0</v>
      </c>
      <c r="U213">
        <f>Loomakasvatus!D73</f>
        <v>0</v>
      </c>
      <c r="V213">
        <f>IFERROR(VLOOKUP(T213,'EFid TK'!$B$6:$C$36,2,FALSE),0)</f>
        <v>0</v>
      </c>
      <c r="W213">
        <f t="shared" si="38"/>
        <v>0</v>
      </c>
      <c r="X213" s="21"/>
      <c r="Z213" s="188" t="s">
        <v>778</v>
      </c>
      <c r="AA213" s="189"/>
      <c r="AB213" s="189"/>
      <c r="AC213" s="190"/>
      <c r="AR213" s="20"/>
      <c r="AS213">
        <f>Loomakasvatus!S73</f>
        <v>0</v>
      </c>
      <c r="AT213">
        <f>Loomakasvatus!T73</f>
        <v>0</v>
      </c>
      <c r="AU213">
        <f>IFERROR(VLOOKUP(AR213,'EFid TK'!$B$6:$C$36,2,FALSE),0)</f>
        <v>0</v>
      </c>
      <c r="AV213">
        <f t="shared" si="61"/>
        <v>0</v>
      </c>
      <c r="AW213" s="21"/>
      <c r="AY213" s="188" t="s">
        <v>778</v>
      </c>
      <c r="AZ213" s="189"/>
      <c r="BA213" s="189"/>
      <c r="BB213" s="190"/>
      <c r="BQ213" s="20"/>
      <c r="BR213">
        <f>Loomakasvatus!AI73</f>
        <v>0</v>
      </c>
      <c r="BS213">
        <f>Loomakasvatus!AJ73</f>
        <v>0</v>
      </c>
      <c r="BT213">
        <f>IFERROR(VLOOKUP(BQ213,'EFid TK'!$B$6:$C$36,2,FALSE),0)</f>
        <v>0</v>
      </c>
      <c r="BU213">
        <f t="shared" si="62"/>
        <v>0</v>
      </c>
      <c r="BV213" s="21"/>
    </row>
    <row r="214" spans="1:74">
      <c r="A214" s="188" t="s">
        <v>779</v>
      </c>
      <c r="B214" s="189"/>
      <c r="C214" s="189"/>
      <c r="D214" s="190"/>
      <c r="S214" s="20"/>
      <c r="T214">
        <f>Loomakasvatus!C74</f>
        <v>0</v>
      </c>
      <c r="U214">
        <f>Loomakasvatus!D74</f>
        <v>0</v>
      </c>
      <c r="V214">
        <f>IFERROR(VLOOKUP(T214,'EFid TK'!$B$6:$C$36,2,FALSE),0)</f>
        <v>0</v>
      </c>
      <c r="W214">
        <f t="shared" si="38"/>
        <v>0</v>
      </c>
      <c r="X214" s="21"/>
      <c r="Z214" s="188" t="s">
        <v>779</v>
      </c>
      <c r="AA214" s="189"/>
      <c r="AB214" s="189"/>
      <c r="AC214" s="190"/>
      <c r="AR214" s="20"/>
      <c r="AS214">
        <f>Loomakasvatus!S74</f>
        <v>0</v>
      </c>
      <c r="AT214">
        <f>Loomakasvatus!T74</f>
        <v>0</v>
      </c>
      <c r="AU214">
        <f>IFERROR(VLOOKUP(AR214,'EFid TK'!$B$6:$C$36,2,FALSE),0)</f>
        <v>0</v>
      </c>
      <c r="AV214">
        <f t="shared" si="61"/>
        <v>0</v>
      </c>
      <c r="AW214" s="21"/>
      <c r="AY214" s="188" t="s">
        <v>779</v>
      </c>
      <c r="AZ214" s="189"/>
      <c r="BA214" s="189"/>
      <c r="BB214" s="190"/>
      <c r="BQ214" s="20"/>
      <c r="BR214">
        <f>Loomakasvatus!AI74</f>
        <v>0</v>
      </c>
      <c r="BS214">
        <f>Loomakasvatus!AJ74</f>
        <v>0</v>
      </c>
      <c r="BT214">
        <f>IFERROR(VLOOKUP(BQ214,'EFid TK'!$B$6:$C$36,2,FALSE),0)</f>
        <v>0</v>
      </c>
      <c r="BU214">
        <f t="shared" si="62"/>
        <v>0</v>
      </c>
      <c r="BV214" s="21"/>
    </row>
    <row r="215" spans="1:74">
      <c r="A215" s="115" t="s">
        <v>780</v>
      </c>
      <c r="B215" s="31" t="s">
        <v>781</v>
      </c>
      <c r="D215" s="878">
        <f>SUM(F215:Q215)</f>
        <v>0</v>
      </c>
      <c r="E215" t="s">
        <v>772</v>
      </c>
      <c r="F215" s="42">
        <f>F216*F217*F218</f>
        <v>0</v>
      </c>
      <c r="G215" s="42">
        <f t="shared" ref="G215:Q215" si="72">G216*G217*G218</f>
        <v>0</v>
      </c>
      <c r="H215" s="42">
        <f t="shared" si="72"/>
        <v>0</v>
      </c>
      <c r="I215" s="42">
        <f t="shared" si="72"/>
        <v>0</v>
      </c>
      <c r="J215" s="42">
        <f t="shared" si="72"/>
        <v>0</v>
      </c>
      <c r="K215" s="42">
        <f t="shared" si="72"/>
        <v>0</v>
      </c>
      <c r="L215" s="42">
        <f t="shared" si="72"/>
        <v>0</v>
      </c>
      <c r="M215" s="42">
        <f t="shared" si="72"/>
        <v>0</v>
      </c>
      <c r="N215" s="42">
        <f t="shared" si="72"/>
        <v>0</v>
      </c>
      <c r="O215" s="42">
        <f t="shared" si="72"/>
        <v>0</v>
      </c>
      <c r="P215" s="42">
        <f t="shared" si="72"/>
        <v>0</v>
      </c>
      <c r="Q215" s="42">
        <f t="shared" si="72"/>
        <v>0</v>
      </c>
      <c r="S215" s="20"/>
      <c r="T215">
        <f>Loomakasvatus!C75</f>
        <v>0</v>
      </c>
      <c r="U215">
        <f>Loomakasvatus!D75</f>
        <v>0</v>
      </c>
      <c r="V215">
        <f>IFERROR(VLOOKUP(T215,'EFid TK'!$B$6:$C$36,2,FALSE),0)</f>
        <v>0</v>
      </c>
      <c r="W215">
        <f t="shared" si="38"/>
        <v>0</v>
      </c>
      <c r="X215" s="21"/>
      <c r="Z215" s="115" t="s">
        <v>780</v>
      </c>
      <c r="AA215" s="31" t="s">
        <v>781</v>
      </c>
      <c r="AC215" s="878">
        <f>SUM(AE215:AP215)</f>
        <v>0</v>
      </c>
      <c r="AD215" t="s">
        <v>772</v>
      </c>
      <c r="AE215" s="42">
        <f>AE216*AE217*AE218</f>
        <v>0</v>
      </c>
      <c r="AF215" s="42">
        <f t="shared" ref="AF215:AP215" si="73">AF216*AF217*AF218</f>
        <v>0</v>
      </c>
      <c r="AG215" s="42">
        <f t="shared" si="73"/>
        <v>0</v>
      </c>
      <c r="AH215" s="42">
        <f t="shared" si="73"/>
        <v>0</v>
      </c>
      <c r="AI215" s="42">
        <f t="shared" si="73"/>
        <v>0</v>
      </c>
      <c r="AJ215" s="42">
        <f t="shared" si="73"/>
        <v>0</v>
      </c>
      <c r="AK215" s="42">
        <f t="shared" si="73"/>
        <v>0</v>
      </c>
      <c r="AL215" s="42">
        <f t="shared" si="73"/>
        <v>0</v>
      </c>
      <c r="AM215" s="42">
        <f t="shared" si="73"/>
        <v>0</v>
      </c>
      <c r="AN215" s="42">
        <f t="shared" si="73"/>
        <v>0</v>
      </c>
      <c r="AO215" s="42">
        <f t="shared" si="73"/>
        <v>0</v>
      </c>
      <c r="AP215" s="42">
        <f t="shared" si="73"/>
        <v>0</v>
      </c>
      <c r="AR215" s="20"/>
      <c r="AS215">
        <f>Loomakasvatus!S75</f>
        <v>0</v>
      </c>
      <c r="AT215">
        <f>Loomakasvatus!T75</f>
        <v>0</v>
      </c>
      <c r="AU215">
        <f>IFERROR(VLOOKUP(AR215,'EFid TK'!$B$6:$C$36,2,FALSE),0)</f>
        <v>0</v>
      </c>
      <c r="AV215">
        <f t="shared" si="61"/>
        <v>0</v>
      </c>
      <c r="AW215" s="21"/>
      <c r="AY215" s="115" t="s">
        <v>780</v>
      </c>
      <c r="AZ215" s="31" t="s">
        <v>781</v>
      </c>
      <c r="BB215" s="878">
        <f>SUM(BD215:BO215)</f>
        <v>0</v>
      </c>
      <c r="BC215" t="s">
        <v>772</v>
      </c>
      <c r="BD215" s="42">
        <f>BD216*BD217*BD218</f>
        <v>0</v>
      </c>
      <c r="BE215" s="42">
        <f t="shared" ref="BE215:BO215" si="74">BE216*BE217*BE218</f>
        <v>0</v>
      </c>
      <c r="BF215" s="42">
        <f t="shared" si="74"/>
        <v>0</v>
      </c>
      <c r="BG215" s="42">
        <f t="shared" si="74"/>
        <v>0</v>
      </c>
      <c r="BH215" s="42">
        <f t="shared" si="74"/>
        <v>0</v>
      </c>
      <c r="BI215" s="42">
        <f t="shared" si="74"/>
        <v>0</v>
      </c>
      <c r="BJ215" s="42">
        <f t="shared" si="74"/>
        <v>0</v>
      </c>
      <c r="BK215" s="42">
        <f t="shared" si="74"/>
        <v>0</v>
      </c>
      <c r="BL215" s="42">
        <f t="shared" si="74"/>
        <v>0</v>
      </c>
      <c r="BM215" s="42">
        <f t="shared" si="74"/>
        <v>0</v>
      </c>
      <c r="BN215" s="42">
        <f t="shared" si="74"/>
        <v>0</v>
      </c>
      <c r="BO215" s="42">
        <f t="shared" si="74"/>
        <v>0</v>
      </c>
      <c r="BQ215" s="20"/>
      <c r="BR215">
        <f>Loomakasvatus!AI75</f>
        <v>0</v>
      </c>
      <c r="BS215">
        <f>Loomakasvatus!AJ75</f>
        <v>0</v>
      </c>
      <c r="BT215">
        <f>IFERROR(VLOOKUP(BQ215,'EFid TK'!$B$6:$C$36,2,FALSE),0)</f>
        <v>0</v>
      </c>
      <c r="BU215">
        <f t="shared" si="62"/>
        <v>0</v>
      </c>
      <c r="BV215" s="21"/>
    </row>
    <row r="216" spans="1:74">
      <c r="A216" s="344" t="s">
        <v>446</v>
      </c>
      <c r="B216" s="31" t="s">
        <v>782</v>
      </c>
      <c r="D216" s="815">
        <f>D197</f>
        <v>0</v>
      </c>
      <c r="E216" t="s">
        <v>299</v>
      </c>
      <c r="F216" s="811">
        <f>Loomakasvatus!C14</f>
        <v>0</v>
      </c>
      <c r="G216" s="811">
        <f>Loomakasvatus!D14</f>
        <v>0</v>
      </c>
      <c r="H216" s="811">
        <f>Loomakasvatus!E14</f>
        <v>0</v>
      </c>
      <c r="I216" s="811">
        <f>Loomakasvatus!F14</f>
        <v>0</v>
      </c>
      <c r="J216" s="811">
        <f>Loomakasvatus!G14</f>
        <v>0</v>
      </c>
      <c r="K216" s="811">
        <f>Loomakasvatus!H14</f>
        <v>0</v>
      </c>
      <c r="L216" s="811">
        <f>Loomakasvatus!I14</f>
        <v>0</v>
      </c>
      <c r="M216" s="811">
        <f>Loomakasvatus!J14</f>
        <v>0</v>
      </c>
      <c r="N216" s="811">
        <f>Loomakasvatus!K14</f>
        <v>0</v>
      </c>
      <c r="O216" s="811">
        <f>Loomakasvatus!L14</f>
        <v>0</v>
      </c>
      <c r="P216" s="811">
        <f>Loomakasvatus!M14</f>
        <v>0</v>
      </c>
      <c r="Q216" s="811">
        <f>Loomakasvatus!N14</f>
        <v>0</v>
      </c>
      <c r="S216" s="20"/>
      <c r="T216">
        <f>Loomakasvatus!C76</f>
        <v>0</v>
      </c>
      <c r="U216">
        <f>Loomakasvatus!D76</f>
        <v>0</v>
      </c>
      <c r="V216">
        <f>IFERROR(VLOOKUP(T216,'EFid TK'!$B$6:$C$36,2,FALSE),0)</f>
        <v>0</v>
      </c>
      <c r="W216">
        <f t="shared" si="38"/>
        <v>0</v>
      </c>
      <c r="X216" s="21"/>
      <c r="Z216" s="344" t="s">
        <v>446</v>
      </c>
      <c r="AA216" s="31" t="s">
        <v>782</v>
      </c>
      <c r="AC216" s="815">
        <f>AC197</f>
        <v>0</v>
      </c>
      <c r="AD216" t="s">
        <v>299</v>
      </c>
      <c r="AE216" s="811">
        <f>Loomakasvatus!S14</f>
        <v>0</v>
      </c>
      <c r="AF216" s="811">
        <f>Loomakasvatus!T14</f>
        <v>0</v>
      </c>
      <c r="AG216" s="811">
        <f>Loomakasvatus!U14</f>
        <v>0</v>
      </c>
      <c r="AH216" s="811">
        <f>Loomakasvatus!V14</f>
        <v>0</v>
      </c>
      <c r="AI216" s="811">
        <f>Loomakasvatus!W14</f>
        <v>0</v>
      </c>
      <c r="AJ216" s="811">
        <f>Loomakasvatus!X14</f>
        <v>0</v>
      </c>
      <c r="AK216" s="811">
        <f>Loomakasvatus!Y14</f>
        <v>0</v>
      </c>
      <c r="AL216" s="811">
        <f>Loomakasvatus!Z14</f>
        <v>0</v>
      </c>
      <c r="AM216" s="811">
        <f>Loomakasvatus!AA14</f>
        <v>0</v>
      </c>
      <c r="AN216" s="811">
        <f>Loomakasvatus!AB14</f>
        <v>0</v>
      </c>
      <c r="AO216" s="811">
        <f>Loomakasvatus!AC14</f>
        <v>0</v>
      </c>
      <c r="AP216" s="811">
        <f>Loomakasvatus!AD14</f>
        <v>0</v>
      </c>
      <c r="AR216" s="20"/>
      <c r="AS216">
        <f>Loomakasvatus!S76</f>
        <v>0</v>
      </c>
      <c r="AT216">
        <f>Loomakasvatus!T76</f>
        <v>0</v>
      </c>
      <c r="AU216">
        <f>IFERROR(VLOOKUP(AR216,'EFid TK'!$B$6:$C$36,2,FALSE),0)</f>
        <v>0</v>
      </c>
      <c r="AV216">
        <f t="shared" si="61"/>
        <v>0</v>
      </c>
      <c r="AW216" s="21"/>
      <c r="AY216" s="344" t="s">
        <v>446</v>
      </c>
      <c r="AZ216" s="31" t="s">
        <v>782</v>
      </c>
      <c r="BB216" s="815">
        <f>BB197</f>
        <v>0</v>
      </c>
      <c r="BC216" t="s">
        <v>299</v>
      </c>
      <c r="BD216" s="811">
        <f>Loomakasvatus!AI14</f>
        <v>0</v>
      </c>
      <c r="BE216" s="811">
        <f>Loomakasvatus!AJ14</f>
        <v>0</v>
      </c>
      <c r="BF216" s="811">
        <f>Loomakasvatus!AK14</f>
        <v>0</v>
      </c>
      <c r="BG216" s="811">
        <f>Loomakasvatus!AL14</f>
        <v>0</v>
      </c>
      <c r="BH216" s="811">
        <f>Loomakasvatus!AM14</f>
        <v>0</v>
      </c>
      <c r="BI216" s="811">
        <f>Loomakasvatus!AN14</f>
        <v>0</v>
      </c>
      <c r="BJ216" s="811">
        <f>Loomakasvatus!AO14</f>
        <v>0</v>
      </c>
      <c r="BK216" s="811">
        <f>Loomakasvatus!AP14</f>
        <v>0</v>
      </c>
      <c r="BL216" s="811">
        <f>Loomakasvatus!AQ14</f>
        <v>0</v>
      </c>
      <c r="BM216" s="811">
        <f>Loomakasvatus!AR14</f>
        <v>0</v>
      </c>
      <c r="BN216" s="811">
        <f>Loomakasvatus!AS14</f>
        <v>0</v>
      </c>
      <c r="BO216" s="811">
        <f>Loomakasvatus!AT14</f>
        <v>0</v>
      </c>
      <c r="BQ216" s="20"/>
      <c r="BR216">
        <f>Loomakasvatus!AI76</f>
        <v>0</v>
      </c>
      <c r="BS216">
        <f>Loomakasvatus!AJ76</f>
        <v>0</v>
      </c>
      <c r="BT216">
        <f>IFERROR(VLOOKUP(BQ216,'EFid TK'!$B$6:$C$36,2,FALSE),0)</f>
        <v>0</v>
      </c>
      <c r="BU216">
        <f t="shared" si="62"/>
        <v>0</v>
      </c>
      <c r="BV216" s="21"/>
    </row>
    <row r="217" spans="1:74">
      <c r="A217" s="344" t="s">
        <v>783</v>
      </c>
      <c r="B217" s="31" t="s">
        <v>784</v>
      </c>
      <c r="D217" s="815" t="e">
        <f>(Loomakasvatus!#REF!*'M1 - LK'!K161)+(Loomakasvatus!#REF!*'M1 - LK'!K162)</f>
        <v>#REF!</v>
      </c>
      <c r="E217" t="s">
        <v>758</v>
      </c>
      <c r="F217" s="822">
        <f>'M1 - LK'!$L$238</f>
        <v>128</v>
      </c>
      <c r="G217" s="822">
        <f>'M1 - LK'!$L$238</f>
        <v>128</v>
      </c>
      <c r="H217" s="822">
        <f>'M1 - LK'!$L$238</f>
        <v>128</v>
      </c>
      <c r="I217" s="822">
        <f>'M1 - LK'!$L$238</f>
        <v>128</v>
      </c>
      <c r="J217" s="822">
        <f>'M1 - LK'!$L$238</f>
        <v>128</v>
      </c>
      <c r="K217" s="822">
        <f>'M1 - LK'!$L$238</f>
        <v>128</v>
      </c>
      <c r="L217" s="822">
        <f>'M1 - LK'!$L$239</f>
        <v>53</v>
      </c>
      <c r="M217" s="822">
        <f>'M1 - LK'!$L$239</f>
        <v>53</v>
      </c>
      <c r="N217" s="822">
        <f>'M1 - LK'!$L$239</f>
        <v>53</v>
      </c>
      <c r="O217" s="822">
        <f>'M1 - LK'!$L$239</f>
        <v>53</v>
      </c>
      <c r="P217" s="822">
        <f>'M1 - LK'!$L$239</f>
        <v>53</v>
      </c>
      <c r="Q217" s="822">
        <f>'M1 - LK'!$L$239</f>
        <v>53</v>
      </c>
      <c r="S217" s="20"/>
      <c r="T217">
        <f>Loomakasvatus!C77</f>
        <v>0</v>
      </c>
      <c r="U217">
        <f>Loomakasvatus!D77</f>
        <v>0</v>
      </c>
      <c r="V217">
        <f>IFERROR(VLOOKUP(T217,'EFid TK'!$B$6:$C$36,2,FALSE),0)</f>
        <v>0</v>
      </c>
      <c r="W217">
        <f t="shared" si="38"/>
        <v>0</v>
      </c>
      <c r="X217" s="21"/>
      <c r="Z217" s="344" t="s">
        <v>783</v>
      </c>
      <c r="AA217" s="31" t="s">
        <v>784</v>
      </c>
      <c r="AC217" s="815" t="e">
        <f>(Loomakasvatus!#REF!*'M1 - LK'!AJ161)+(Loomakasvatus!#REF!*'M1 - LK'!AJ162)</f>
        <v>#REF!</v>
      </c>
      <c r="AD217" t="s">
        <v>758</v>
      </c>
      <c r="AE217" s="822">
        <f>'M1 - LK'!$L$238</f>
        <v>128</v>
      </c>
      <c r="AF217" s="822">
        <f>'M1 - LK'!$L$238</f>
        <v>128</v>
      </c>
      <c r="AG217" s="822">
        <f>'M1 - LK'!$L$238</f>
        <v>128</v>
      </c>
      <c r="AH217" s="822">
        <f>'M1 - LK'!$L$238</f>
        <v>128</v>
      </c>
      <c r="AI217" s="822">
        <f>'M1 - LK'!$L$238</f>
        <v>128</v>
      </c>
      <c r="AJ217" s="822">
        <f>'M1 - LK'!$L$238</f>
        <v>128</v>
      </c>
      <c r="AK217" s="822">
        <f>'M1 - LK'!$L$239</f>
        <v>53</v>
      </c>
      <c r="AL217" s="822">
        <f>'M1 - LK'!$L$239</f>
        <v>53</v>
      </c>
      <c r="AM217" s="822">
        <f>'M1 - LK'!$L$239</f>
        <v>53</v>
      </c>
      <c r="AN217" s="822">
        <f>'M1 - LK'!$L$239</f>
        <v>53</v>
      </c>
      <c r="AO217" s="822">
        <f>'M1 - LK'!$L$239</f>
        <v>53</v>
      </c>
      <c r="AP217" s="822">
        <f>'M1 - LK'!$L$239</f>
        <v>53</v>
      </c>
      <c r="AR217" s="20"/>
      <c r="AS217">
        <f>Loomakasvatus!S77</f>
        <v>0</v>
      </c>
      <c r="AT217">
        <f>Loomakasvatus!T77</f>
        <v>0</v>
      </c>
      <c r="AU217">
        <f>IFERROR(VLOOKUP(AR217,'EFid TK'!$B$6:$C$36,2,FALSE),0)</f>
        <v>0</v>
      </c>
      <c r="AV217">
        <f t="shared" si="61"/>
        <v>0</v>
      </c>
      <c r="AW217" s="21"/>
      <c r="AY217" s="344" t="s">
        <v>783</v>
      </c>
      <c r="AZ217" s="31" t="s">
        <v>784</v>
      </c>
      <c r="BB217" s="815" t="e">
        <f>(Loomakasvatus!#REF!*'M1 - LK'!BI161)+(Loomakasvatus!#REF!*'M1 - LK'!BI162)</f>
        <v>#REF!</v>
      </c>
      <c r="BC217" t="s">
        <v>758</v>
      </c>
      <c r="BD217" s="822">
        <f>'M1 - LK'!$L$238</f>
        <v>128</v>
      </c>
      <c r="BE217" s="822">
        <f>'M1 - LK'!$L$238</f>
        <v>128</v>
      </c>
      <c r="BF217" s="822">
        <f>'M1 - LK'!$L$238</f>
        <v>128</v>
      </c>
      <c r="BG217" s="822">
        <f>'M1 - LK'!$L$238</f>
        <v>128</v>
      </c>
      <c r="BH217" s="822">
        <f>'M1 - LK'!$L$238</f>
        <v>128</v>
      </c>
      <c r="BI217" s="822">
        <f>'M1 - LK'!$L$238</f>
        <v>128</v>
      </c>
      <c r="BJ217" s="822">
        <f>'M1 - LK'!$L$239</f>
        <v>53</v>
      </c>
      <c r="BK217" s="822">
        <f>'M1 - LK'!$L$239</f>
        <v>53</v>
      </c>
      <c r="BL217" s="822">
        <f>'M1 - LK'!$L$239</f>
        <v>53</v>
      </c>
      <c r="BM217" s="822">
        <f>'M1 - LK'!$L$239</f>
        <v>53</v>
      </c>
      <c r="BN217" s="822">
        <f>'M1 - LK'!$L$239</f>
        <v>53</v>
      </c>
      <c r="BO217" s="822">
        <f>'M1 - LK'!$L$239</f>
        <v>53</v>
      </c>
      <c r="BQ217" s="20"/>
      <c r="BR217">
        <f>Loomakasvatus!AI77</f>
        <v>0</v>
      </c>
      <c r="BS217">
        <f>Loomakasvatus!AJ77</f>
        <v>0</v>
      </c>
      <c r="BT217">
        <f>IFERROR(VLOOKUP(BQ217,'EFid TK'!$B$6:$C$36,2,FALSE),0)</f>
        <v>0</v>
      </c>
      <c r="BU217">
        <f t="shared" si="62"/>
        <v>0</v>
      </c>
      <c r="BV217" s="21"/>
    </row>
    <row r="218" spans="1:74" ht="15" thickBot="1">
      <c r="A218" s="339" t="s">
        <v>762</v>
      </c>
      <c r="B218" s="345" t="s">
        <v>763</v>
      </c>
      <c r="C218" s="36"/>
      <c r="D218" s="820">
        <f>D201</f>
        <v>0</v>
      </c>
      <c r="F218" s="811">
        <v>1</v>
      </c>
      <c r="G218" s="811">
        <v>1</v>
      </c>
      <c r="H218" s="811">
        <v>1</v>
      </c>
      <c r="I218" s="811">
        <v>1</v>
      </c>
      <c r="J218" s="811">
        <v>1</v>
      </c>
      <c r="K218" s="811">
        <v>1</v>
      </c>
      <c r="L218" s="811">
        <v>1</v>
      </c>
      <c r="M218" s="811">
        <v>1</v>
      </c>
      <c r="N218" s="811">
        <v>1</v>
      </c>
      <c r="O218" s="811">
        <v>1</v>
      </c>
      <c r="P218" s="811">
        <v>1</v>
      </c>
      <c r="Q218" s="811">
        <v>1</v>
      </c>
      <c r="S218" s="20"/>
      <c r="T218">
        <f>Loomakasvatus!C78</f>
        <v>0</v>
      </c>
      <c r="U218">
        <f>Loomakasvatus!D78</f>
        <v>0</v>
      </c>
      <c r="V218">
        <f>IFERROR(VLOOKUP(T218,'EFid TK'!$B$6:$C$36,2,FALSE),0)</f>
        <v>0</v>
      </c>
      <c r="W218">
        <f t="shared" si="38"/>
        <v>0</v>
      </c>
      <c r="X218" s="21"/>
      <c r="Z218" s="339" t="s">
        <v>762</v>
      </c>
      <c r="AA218" s="345" t="s">
        <v>763</v>
      </c>
      <c r="AB218" s="36"/>
      <c r="AC218" s="820">
        <f>AC201</f>
        <v>0</v>
      </c>
      <c r="AE218" s="811">
        <v>1</v>
      </c>
      <c r="AF218" s="811">
        <v>1</v>
      </c>
      <c r="AG218" s="811">
        <v>1</v>
      </c>
      <c r="AH218" s="811">
        <v>1</v>
      </c>
      <c r="AI218" s="811">
        <v>1</v>
      </c>
      <c r="AJ218" s="811">
        <v>1</v>
      </c>
      <c r="AK218" s="811">
        <v>1</v>
      </c>
      <c r="AL218" s="811">
        <v>1</v>
      </c>
      <c r="AM218" s="811">
        <v>1</v>
      </c>
      <c r="AN218" s="811">
        <v>1</v>
      </c>
      <c r="AO218" s="811">
        <v>1</v>
      </c>
      <c r="AP218" s="811">
        <v>1</v>
      </c>
      <c r="AR218" s="20"/>
      <c r="AS218">
        <f>Loomakasvatus!S78</f>
        <v>0</v>
      </c>
      <c r="AT218">
        <f>Loomakasvatus!T78</f>
        <v>0</v>
      </c>
      <c r="AU218">
        <f>IFERROR(VLOOKUP(AR218,'EFid TK'!$B$6:$C$36,2,FALSE),0)</f>
        <v>0</v>
      </c>
      <c r="AV218">
        <f t="shared" si="61"/>
        <v>0</v>
      </c>
      <c r="AW218" s="21"/>
      <c r="AY218" s="339" t="s">
        <v>762</v>
      </c>
      <c r="AZ218" s="345" t="s">
        <v>763</v>
      </c>
      <c r="BA218" s="36"/>
      <c r="BB218" s="820">
        <f>BB201</f>
        <v>0</v>
      </c>
      <c r="BD218" s="811">
        <v>1</v>
      </c>
      <c r="BE218" s="811">
        <v>1</v>
      </c>
      <c r="BF218" s="811">
        <v>1</v>
      </c>
      <c r="BG218" s="811">
        <v>1</v>
      </c>
      <c r="BH218" s="811">
        <v>1</v>
      </c>
      <c r="BI218" s="811">
        <v>1</v>
      </c>
      <c r="BJ218" s="811">
        <v>1</v>
      </c>
      <c r="BK218" s="811">
        <v>1</v>
      </c>
      <c r="BL218" s="811">
        <v>1</v>
      </c>
      <c r="BM218" s="811">
        <v>1</v>
      </c>
      <c r="BN218" s="811">
        <v>1</v>
      </c>
      <c r="BO218" s="811">
        <v>1</v>
      </c>
      <c r="BQ218" s="20"/>
      <c r="BR218">
        <f>Loomakasvatus!AI78</f>
        <v>0</v>
      </c>
      <c r="BS218">
        <f>Loomakasvatus!AJ78</f>
        <v>0</v>
      </c>
      <c r="BT218">
        <f>IFERROR(VLOOKUP(BQ218,'EFid TK'!$B$6:$C$36,2,FALSE),0)</f>
        <v>0</v>
      </c>
      <c r="BU218">
        <f t="shared" si="62"/>
        <v>0</v>
      </c>
      <c r="BV218" s="21"/>
    </row>
    <row r="219" spans="1:74" ht="15" thickBot="1">
      <c r="A219" s="1340" t="s">
        <v>786</v>
      </c>
      <c r="B219" s="1340"/>
      <c r="C219" s="1340"/>
      <c r="D219" s="1340"/>
      <c r="S219" s="20"/>
      <c r="X219" s="21"/>
      <c r="Z219" s="1340" t="s">
        <v>786</v>
      </c>
      <c r="AA219" s="1340"/>
      <c r="AB219" s="1340"/>
      <c r="AC219" s="1340"/>
      <c r="AR219" s="20"/>
      <c r="AS219" t="str" cm="1">
        <f t="array" ref="AS219:AU223">Loomakasvatus!S79:U83</f>
        <v>Sööt, mille heitetegur on teada</v>
      </c>
      <c r="AT219" t="str">
        <v>Kogus (kg)</v>
      </c>
      <c r="AU219" t="str">
        <v>Heitetegur (kg CO2-ekv/kg)</v>
      </c>
      <c r="AW219" s="21"/>
      <c r="AY219" s="1340" t="s">
        <v>786</v>
      </c>
      <c r="AZ219" s="1340"/>
      <c r="BA219" s="1340"/>
      <c r="BB219" s="1340"/>
      <c r="BQ219" s="20"/>
      <c r="BR219" t="str" cm="1">
        <f t="array" ref="BR219:BT223">Loomakasvatus!AI79:AK83</f>
        <v>Sööt, mille heitetegur on teada</v>
      </c>
      <c r="BS219" t="str">
        <v>Kogus (kg)</v>
      </c>
      <c r="BT219" t="str">
        <v>Heitetegur (kg CO2-ekv/kg)</v>
      </c>
      <c r="BV219" s="21"/>
    </row>
    <row r="220" spans="1:74">
      <c r="A220" s="199" t="s">
        <v>787</v>
      </c>
      <c r="B220" s="191"/>
      <c r="C220" s="191"/>
      <c r="D220" s="192"/>
      <c r="S220" s="20"/>
      <c r="T220" t="str" cm="1">
        <f t="array" ref="T220:V224">Loomakasvatus!C79:E83</f>
        <v>Sööt, mille heitetegur on teada</v>
      </c>
      <c r="U220" t="str">
        <v>Kogus (kg)</v>
      </c>
      <c r="V220" t="str">
        <v>Heitetegur (kg CO2-ekv/kg)</v>
      </c>
      <c r="W220" t="s">
        <v>517</v>
      </c>
      <c r="X220" s="21"/>
      <c r="Z220" s="199" t="s">
        <v>787</v>
      </c>
      <c r="AA220" s="191"/>
      <c r="AB220" s="191"/>
      <c r="AC220" s="192"/>
      <c r="AR220" s="20"/>
      <c r="AS220">
        <v>0</v>
      </c>
      <c r="AT220">
        <v>0</v>
      </c>
      <c r="AU220">
        <v>0</v>
      </c>
      <c r="AV220">
        <f>AT220*AU220</f>
        <v>0</v>
      </c>
      <c r="AW220" s="21"/>
      <c r="AY220" s="199" t="s">
        <v>787</v>
      </c>
      <c r="AZ220" s="191"/>
      <c r="BA220" s="191"/>
      <c r="BB220" s="192"/>
      <c r="BQ220" s="20"/>
      <c r="BR220">
        <v>0</v>
      </c>
      <c r="BS220">
        <v>0</v>
      </c>
      <c r="BT220">
        <v>0</v>
      </c>
      <c r="BU220">
        <f>BS220*BT220</f>
        <v>0</v>
      </c>
      <c r="BV220" s="21"/>
    </row>
    <row r="221" spans="1:74">
      <c r="A221" s="188" t="s">
        <v>788</v>
      </c>
      <c r="B221" s="189"/>
      <c r="C221" s="189"/>
      <c r="D221" s="190"/>
      <c r="S221" s="20"/>
      <c r="T221">
        <v>0</v>
      </c>
      <c r="U221">
        <v>0</v>
      </c>
      <c r="V221">
        <v>0</v>
      </c>
      <c r="W221">
        <f>U221*V221</f>
        <v>0</v>
      </c>
      <c r="X221" s="21"/>
      <c r="Z221" s="188" t="s">
        <v>788</v>
      </c>
      <c r="AA221" s="189"/>
      <c r="AB221" s="189"/>
      <c r="AC221" s="190"/>
      <c r="AR221" s="20"/>
      <c r="AS221">
        <v>0</v>
      </c>
      <c r="AT221">
        <v>0</v>
      </c>
      <c r="AU221">
        <v>0</v>
      </c>
      <c r="AV221">
        <f t="shared" ref="AV221:AV223" si="75">AT221*AU221</f>
        <v>0</v>
      </c>
      <c r="AW221" s="21"/>
      <c r="AY221" s="188" t="s">
        <v>788</v>
      </c>
      <c r="AZ221" s="189"/>
      <c r="BA221" s="189"/>
      <c r="BB221" s="190"/>
      <c r="BP221" s="204"/>
      <c r="BQ221" s="20"/>
      <c r="BR221">
        <v>0</v>
      </c>
      <c r="BS221">
        <v>0</v>
      </c>
      <c r="BT221">
        <v>0</v>
      </c>
      <c r="BU221">
        <f t="shared" ref="BU221:BU223" si="76">BS221*BT221</f>
        <v>0</v>
      </c>
      <c r="BV221" s="21"/>
    </row>
    <row r="222" spans="1:74">
      <c r="A222" s="115" t="s">
        <v>789</v>
      </c>
      <c r="B222" s="31" t="s">
        <v>790</v>
      </c>
      <c r="D222" s="821" t="e">
        <f>(D223*D224-D225/1.214)*D226/100</f>
        <v>#REF!</v>
      </c>
      <c r="E222" t="s">
        <v>772</v>
      </c>
      <c r="F222" s="42">
        <f>(F223*F224-F225/1.214)*F226/100</f>
        <v>0</v>
      </c>
      <c r="G222" s="42">
        <f t="shared" ref="G222:Q222" si="77">(G223*G224-G225/1.214)*G226/100</f>
        <v>0</v>
      </c>
      <c r="H222" s="42">
        <f t="shared" si="77"/>
        <v>0</v>
      </c>
      <c r="I222" s="42">
        <f t="shared" si="77"/>
        <v>0</v>
      </c>
      <c r="J222" s="42">
        <f t="shared" si="77"/>
        <v>0</v>
      </c>
      <c r="K222" s="42">
        <f t="shared" si="77"/>
        <v>0</v>
      </c>
      <c r="L222" s="42">
        <f t="shared" si="77"/>
        <v>0</v>
      </c>
      <c r="M222" s="42">
        <f t="shared" si="77"/>
        <v>0</v>
      </c>
      <c r="N222" s="42">
        <f t="shared" si="77"/>
        <v>0</v>
      </c>
      <c r="O222" s="42">
        <f t="shared" si="77"/>
        <v>0</v>
      </c>
      <c r="P222" s="42">
        <f t="shared" si="77"/>
        <v>0</v>
      </c>
      <c r="Q222" s="42">
        <f t="shared" si="77"/>
        <v>0</v>
      </c>
      <c r="S222" s="20"/>
      <c r="T222">
        <v>0</v>
      </c>
      <c r="U222">
        <v>0</v>
      </c>
      <c r="V222">
        <v>0</v>
      </c>
      <c r="W222">
        <f t="shared" ref="W222:W224" si="78">U222*V222</f>
        <v>0</v>
      </c>
      <c r="X222" s="21"/>
      <c r="Z222" s="115" t="s">
        <v>789</v>
      </c>
      <c r="AA222" s="31" t="s">
        <v>790</v>
      </c>
      <c r="AC222" s="821" t="e">
        <f>(AC223*AC224-AC225/1.214)*AC226/100</f>
        <v>#REF!</v>
      </c>
      <c r="AD222" t="s">
        <v>772</v>
      </c>
      <c r="AE222" s="42">
        <f>(AE223*AE224-AE225/1.214)*AE226/100</f>
        <v>0</v>
      </c>
      <c r="AF222" s="42">
        <f t="shared" ref="AF222:AP222" si="79">(AF223*AF224-AF225/1.214)*AF226/100</f>
        <v>0</v>
      </c>
      <c r="AG222" s="42">
        <f t="shared" si="79"/>
        <v>0</v>
      </c>
      <c r="AH222" s="42">
        <f t="shared" si="79"/>
        <v>0</v>
      </c>
      <c r="AI222" s="42">
        <f t="shared" si="79"/>
        <v>0</v>
      </c>
      <c r="AJ222" s="42">
        <f t="shared" si="79"/>
        <v>0</v>
      </c>
      <c r="AK222" s="42">
        <f t="shared" si="79"/>
        <v>0</v>
      </c>
      <c r="AL222" s="42">
        <f t="shared" si="79"/>
        <v>0</v>
      </c>
      <c r="AM222" s="42">
        <f t="shared" si="79"/>
        <v>0</v>
      </c>
      <c r="AN222" s="42">
        <f t="shared" si="79"/>
        <v>0</v>
      </c>
      <c r="AO222" s="42">
        <f t="shared" si="79"/>
        <v>0</v>
      </c>
      <c r="AP222" s="42">
        <f t="shared" si="79"/>
        <v>0</v>
      </c>
      <c r="AR222" s="20"/>
      <c r="AS222">
        <v>0</v>
      </c>
      <c r="AT222">
        <v>0</v>
      </c>
      <c r="AU222">
        <v>0</v>
      </c>
      <c r="AV222">
        <f t="shared" si="75"/>
        <v>0</v>
      </c>
      <c r="AW222" s="21"/>
      <c r="AY222" s="115" t="s">
        <v>789</v>
      </c>
      <c r="AZ222" s="31" t="s">
        <v>790</v>
      </c>
      <c r="BB222" s="821" t="e">
        <f>(BB223*BB224-BB225/1.214)*BB226/100</f>
        <v>#REF!</v>
      </c>
      <c r="BC222" t="s">
        <v>772</v>
      </c>
      <c r="BD222" s="42">
        <f>(BD223*BD224-BD225/1.214)*BD226/100</f>
        <v>0</v>
      </c>
      <c r="BE222" s="42">
        <f t="shared" ref="BE222:BO222" si="80">(BE223*BE224-BE225/1.214)*BE226/100</f>
        <v>0</v>
      </c>
      <c r="BF222" s="42">
        <f t="shared" si="80"/>
        <v>0</v>
      </c>
      <c r="BG222" s="42">
        <f t="shared" si="80"/>
        <v>0</v>
      </c>
      <c r="BH222" s="42">
        <f t="shared" si="80"/>
        <v>0</v>
      </c>
      <c r="BI222" s="42">
        <f t="shared" si="80"/>
        <v>0</v>
      </c>
      <c r="BJ222" s="42">
        <f t="shared" si="80"/>
        <v>0</v>
      </c>
      <c r="BK222" s="42">
        <f t="shared" si="80"/>
        <v>0</v>
      </c>
      <c r="BL222" s="42">
        <f t="shared" si="80"/>
        <v>0</v>
      </c>
      <c r="BM222" s="42">
        <f t="shared" si="80"/>
        <v>0</v>
      </c>
      <c r="BN222" s="42">
        <f t="shared" si="80"/>
        <v>0</v>
      </c>
      <c r="BO222" s="42">
        <f t="shared" si="80"/>
        <v>0</v>
      </c>
      <c r="BQ222" s="20"/>
      <c r="BR222">
        <v>0</v>
      </c>
      <c r="BS222">
        <v>0</v>
      </c>
      <c r="BT222">
        <v>0</v>
      </c>
      <c r="BU222">
        <f t="shared" si="76"/>
        <v>0</v>
      </c>
      <c r="BV222" s="21"/>
    </row>
    <row r="223" spans="1:74" ht="15" thickBot="1">
      <c r="A223" s="115" t="s">
        <v>742</v>
      </c>
      <c r="B223" s="31" t="s">
        <v>743</v>
      </c>
      <c r="D223" s="821" t="e">
        <f>D193</f>
        <v>#REF!</v>
      </c>
      <c r="E223" t="s">
        <v>135</v>
      </c>
      <c r="F223" s="811">
        <f>F193</f>
        <v>0</v>
      </c>
      <c r="G223" s="811">
        <f t="shared" ref="G223:Q223" si="81">G193</f>
        <v>0</v>
      </c>
      <c r="H223" s="811">
        <f t="shared" si="81"/>
        <v>0</v>
      </c>
      <c r="I223" s="811">
        <f t="shared" si="81"/>
        <v>0</v>
      </c>
      <c r="J223" s="811">
        <f t="shared" si="81"/>
        <v>0</v>
      </c>
      <c r="K223" s="811">
        <f t="shared" si="81"/>
        <v>0</v>
      </c>
      <c r="L223" s="811">
        <f t="shared" si="81"/>
        <v>0</v>
      </c>
      <c r="M223" s="811">
        <f t="shared" si="81"/>
        <v>0</v>
      </c>
      <c r="N223" s="811">
        <f t="shared" si="81"/>
        <v>0</v>
      </c>
      <c r="O223" s="811">
        <f t="shared" si="81"/>
        <v>0</v>
      </c>
      <c r="P223" s="811">
        <f t="shared" si="81"/>
        <v>0</v>
      </c>
      <c r="Q223" s="811">
        <f t="shared" si="81"/>
        <v>0</v>
      </c>
      <c r="S223" s="20"/>
      <c r="T223">
        <v>0</v>
      </c>
      <c r="U223">
        <v>0</v>
      </c>
      <c r="V223">
        <v>0</v>
      </c>
      <c r="W223">
        <f t="shared" si="78"/>
        <v>0</v>
      </c>
      <c r="X223" s="21"/>
      <c r="Z223" s="115" t="s">
        <v>742</v>
      </c>
      <c r="AA223" s="31" t="s">
        <v>743</v>
      </c>
      <c r="AC223" s="821" t="e">
        <f>AC193</f>
        <v>#REF!</v>
      </c>
      <c r="AD223" t="s">
        <v>135</v>
      </c>
      <c r="AE223" s="811">
        <f>AE193</f>
        <v>0</v>
      </c>
      <c r="AF223" s="811">
        <f t="shared" ref="AF223:AP223" si="82">AF193</f>
        <v>0</v>
      </c>
      <c r="AG223" s="811">
        <f t="shared" si="82"/>
        <v>0</v>
      </c>
      <c r="AH223" s="811">
        <f t="shared" si="82"/>
        <v>0</v>
      </c>
      <c r="AI223" s="811">
        <f t="shared" si="82"/>
        <v>0</v>
      </c>
      <c r="AJ223" s="811">
        <f t="shared" si="82"/>
        <v>0</v>
      </c>
      <c r="AK223" s="811">
        <f t="shared" si="82"/>
        <v>0</v>
      </c>
      <c r="AL223" s="811">
        <f t="shared" si="82"/>
        <v>0</v>
      </c>
      <c r="AM223" s="811">
        <f t="shared" si="82"/>
        <v>0</v>
      </c>
      <c r="AN223" s="811">
        <f t="shared" si="82"/>
        <v>0</v>
      </c>
      <c r="AO223" s="811">
        <f t="shared" si="82"/>
        <v>0</v>
      </c>
      <c r="AP223" s="811">
        <f t="shared" si="82"/>
        <v>0</v>
      </c>
      <c r="AR223" s="58"/>
      <c r="AS223" s="36">
        <v>0</v>
      </c>
      <c r="AT223" s="36">
        <v>0</v>
      </c>
      <c r="AU223" s="36">
        <v>0</v>
      </c>
      <c r="AV223" s="36">
        <f t="shared" si="75"/>
        <v>0</v>
      </c>
      <c r="AW223" s="37"/>
      <c r="AY223" s="115" t="s">
        <v>742</v>
      </c>
      <c r="AZ223" s="31" t="s">
        <v>743</v>
      </c>
      <c r="BB223" s="821" t="e">
        <f>BB193</f>
        <v>#REF!</v>
      </c>
      <c r="BC223" t="s">
        <v>135</v>
      </c>
      <c r="BD223" s="811">
        <f>BD193</f>
        <v>0</v>
      </c>
      <c r="BE223" s="811">
        <f t="shared" ref="BE223:BO223" si="83">BE193</f>
        <v>0</v>
      </c>
      <c r="BF223" s="811">
        <f t="shared" si="83"/>
        <v>0</v>
      </c>
      <c r="BG223" s="811">
        <f t="shared" si="83"/>
        <v>0</v>
      </c>
      <c r="BH223" s="811">
        <f t="shared" si="83"/>
        <v>0</v>
      </c>
      <c r="BI223" s="811">
        <f t="shared" si="83"/>
        <v>0</v>
      </c>
      <c r="BJ223" s="811">
        <f t="shared" si="83"/>
        <v>0</v>
      </c>
      <c r="BK223" s="811">
        <f t="shared" si="83"/>
        <v>0</v>
      </c>
      <c r="BL223" s="811">
        <f t="shared" si="83"/>
        <v>0</v>
      </c>
      <c r="BM223" s="811">
        <f t="shared" si="83"/>
        <v>0</v>
      </c>
      <c r="BN223" s="811">
        <f t="shared" si="83"/>
        <v>0</v>
      </c>
      <c r="BO223" s="811">
        <f t="shared" si="83"/>
        <v>0</v>
      </c>
      <c r="BQ223" s="58"/>
      <c r="BR223" s="36">
        <v>0</v>
      </c>
      <c r="BS223" s="36">
        <v>0</v>
      </c>
      <c r="BT223" s="36">
        <v>0</v>
      </c>
      <c r="BU223" s="36">
        <f t="shared" si="76"/>
        <v>0</v>
      </c>
      <c r="BV223" s="37"/>
    </row>
    <row r="224" spans="1:74" ht="15" thickBot="1">
      <c r="A224" s="344" t="s">
        <v>762</v>
      </c>
      <c r="B224" s="31" t="s">
        <v>763</v>
      </c>
      <c r="D224" s="821" t="e">
        <f>D202</f>
        <v>#REF!</v>
      </c>
      <c r="F224" s="811">
        <f>F202</f>
        <v>1</v>
      </c>
      <c r="G224" s="811">
        <f t="shared" ref="G224:Q224" si="84">G202</f>
        <v>1</v>
      </c>
      <c r="H224" s="811">
        <f t="shared" si="84"/>
        <v>1</v>
      </c>
      <c r="I224" s="811">
        <f t="shared" si="84"/>
        <v>1</v>
      </c>
      <c r="J224" s="811">
        <f t="shared" si="84"/>
        <v>1</v>
      </c>
      <c r="K224" s="811">
        <f t="shared" si="84"/>
        <v>1</v>
      </c>
      <c r="L224" s="811">
        <f t="shared" si="84"/>
        <v>1</v>
      </c>
      <c r="M224" s="811">
        <f t="shared" si="84"/>
        <v>1</v>
      </c>
      <c r="N224" s="811">
        <f t="shared" si="84"/>
        <v>1</v>
      </c>
      <c r="O224" s="811">
        <f t="shared" si="84"/>
        <v>1</v>
      </c>
      <c r="P224" s="811">
        <f t="shared" si="84"/>
        <v>1</v>
      </c>
      <c r="Q224" s="811">
        <f t="shared" si="84"/>
        <v>1</v>
      </c>
      <c r="S224" s="58"/>
      <c r="T224" s="36">
        <v>0</v>
      </c>
      <c r="U224" s="36">
        <v>0</v>
      </c>
      <c r="V224" s="36">
        <v>0</v>
      </c>
      <c r="W224" s="36">
        <f t="shared" si="78"/>
        <v>0</v>
      </c>
      <c r="X224" s="37"/>
      <c r="Z224" s="344" t="s">
        <v>762</v>
      </c>
      <c r="AA224" s="31" t="s">
        <v>763</v>
      </c>
      <c r="AC224" s="821" t="e">
        <f>AC202</f>
        <v>#REF!</v>
      </c>
      <c r="AE224" s="811">
        <f>AE202</f>
        <v>1</v>
      </c>
      <c r="AF224" s="811">
        <f t="shared" ref="AF224:AP224" si="85">AF202</f>
        <v>1</v>
      </c>
      <c r="AG224" s="811">
        <f t="shared" si="85"/>
        <v>1</v>
      </c>
      <c r="AH224" s="811">
        <f t="shared" si="85"/>
        <v>1</v>
      </c>
      <c r="AI224" s="811">
        <f t="shared" si="85"/>
        <v>1</v>
      </c>
      <c r="AJ224" s="811">
        <f t="shared" si="85"/>
        <v>1</v>
      </c>
      <c r="AK224" s="811">
        <f t="shared" si="85"/>
        <v>1</v>
      </c>
      <c r="AL224" s="811">
        <f t="shared" si="85"/>
        <v>1</v>
      </c>
      <c r="AM224" s="811">
        <f t="shared" si="85"/>
        <v>1</v>
      </c>
      <c r="AN224" s="811">
        <f t="shared" si="85"/>
        <v>1</v>
      </c>
      <c r="AO224" s="811">
        <f t="shared" si="85"/>
        <v>1</v>
      </c>
      <c r="AP224" s="811">
        <f t="shared" si="85"/>
        <v>1</v>
      </c>
      <c r="AR224" t="s">
        <v>452</v>
      </c>
      <c r="AY224" s="344" t="s">
        <v>762</v>
      </c>
      <c r="AZ224" s="31" t="s">
        <v>763</v>
      </c>
      <c r="BB224" s="821" t="e">
        <f>BB202</f>
        <v>#REF!</v>
      </c>
      <c r="BD224" s="811">
        <f>BD202</f>
        <v>1</v>
      </c>
      <c r="BE224" s="811">
        <f t="shared" ref="BE224:BO224" si="86">BE202</f>
        <v>1</v>
      </c>
      <c r="BF224" s="811">
        <f t="shared" si="86"/>
        <v>1</v>
      </c>
      <c r="BG224" s="811">
        <f t="shared" si="86"/>
        <v>1</v>
      </c>
      <c r="BH224" s="811">
        <f t="shared" si="86"/>
        <v>1</v>
      </c>
      <c r="BI224" s="811">
        <f t="shared" si="86"/>
        <v>1</v>
      </c>
      <c r="BJ224" s="811">
        <f t="shared" si="86"/>
        <v>1</v>
      </c>
      <c r="BK224" s="811">
        <f t="shared" si="86"/>
        <v>1</v>
      </c>
      <c r="BL224" s="811">
        <f t="shared" si="86"/>
        <v>1</v>
      </c>
      <c r="BM224" s="811">
        <f t="shared" si="86"/>
        <v>1</v>
      </c>
      <c r="BN224" s="811">
        <f t="shared" si="86"/>
        <v>1</v>
      </c>
      <c r="BO224" s="811">
        <f t="shared" si="86"/>
        <v>1</v>
      </c>
      <c r="BQ224" t="s">
        <v>452</v>
      </c>
    </row>
    <row r="225" spans="1:74" ht="15" thickBot="1">
      <c r="A225" s="344" t="s">
        <v>770</v>
      </c>
      <c r="B225" s="31" t="s">
        <v>771</v>
      </c>
      <c r="D225" s="821" t="e">
        <f>D207</f>
        <v>#REF!</v>
      </c>
      <c r="E225" t="s">
        <v>772</v>
      </c>
      <c r="F225" s="811">
        <f>F207</f>
        <v>0</v>
      </c>
      <c r="G225" s="811">
        <f t="shared" ref="G225:Q225" si="87">G207</f>
        <v>0</v>
      </c>
      <c r="H225" s="811">
        <f t="shared" si="87"/>
        <v>0</v>
      </c>
      <c r="I225" s="811">
        <f t="shared" si="87"/>
        <v>0</v>
      </c>
      <c r="J225" s="811">
        <f t="shared" si="87"/>
        <v>0</v>
      </c>
      <c r="K225" s="811">
        <f t="shared" si="87"/>
        <v>0</v>
      </c>
      <c r="L225" s="811">
        <f t="shared" si="87"/>
        <v>0</v>
      </c>
      <c r="M225" s="811">
        <f t="shared" si="87"/>
        <v>0</v>
      </c>
      <c r="N225" s="811">
        <f t="shared" si="87"/>
        <v>0</v>
      </c>
      <c r="O225" s="811">
        <f t="shared" si="87"/>
        <v>0</v>
      </c>
      <c r="P225" s="811">
        <f t="shared" si="87"/>
        <v>0</v>
      </c>
      <c r="Q225" s="811">
        <f t="shared" si="87"/>
        <v>0</v>
      </c>
      <c r="Z225" s="344" t="s">
        <v>770</v>
      </c>
      <c r="AA225" s="31" t="s">
        <v>771</v>
      </c>
      <c r="AC225" s="821" t="e">
        <f>AC207</f>
        <v>#REF!</v>
      </c>
      <c r="AD225" t="s">
        <v>772</v>
      </c>
      <c r="AE225" s="811">
        <f>AE207</f>
        <v>0</v>
      </c>
      <c r="AF225" s="811">
        <f t="shared" ref="AF225:AP225" si="88">AF207</f>
        <v>0</v>
      </c>
      <c r="AG225" s="811">
        <f t="shared" si="88"/>
        <v>0</v>
      </c>
      <c r="AH225" s="811">
        <f t="shared" si="88"/>
        <v>0</v>
      </c>
      <c r="AI225" s="811">
        <f t="shared" si="88"/>
        <v>0</v>
      </c>
      <c r="AJ225" s="811">
        <f t="shared" si="88"/>
        <v>0</v>
      </c>
      <c r="AK225" s="811">
        <f t="shared" si="88"/>
        <v>0</v>
      </c>
      <c r="AL225" s="811">
        <f t="shared" si="88"/>
        <v>0</v>
      </c>
      <c r="AM225" s="811">
        <f t="shared" si="88"/>
        <v>0</v>
      </c>
      <c r="AN225" s="811">
        <f t="shared" si="88"/>
        <v>0</v>
      </c>
      <c r="AO225" s="811">
        <f t="shared" si="88"/>
        <v>0</v>
      </c>
      <c r="AP225" s="811">
        <f t="shared" si="88"/>
        <v>0</v>
      </c>
      <c r="AR225" s="15">
        <f>Loomakasvatus!S98</f>
        <v>0</v>
      </c>
      <c r="AS225" s="16">
        <f>Loomakasvatus!T98</f>
        <v>0</v>
      </c>
      <c r="AT225" s="16">
        <f>IFERROR(VLOOKUP(AR225,EFid!$A$243:$D$250,2,FALSE),0)</f>
        <v>0</v>
      </c>
      <c r="AU225" s="16"/>
      <c r="AV225" s="1066">
        <f t="shared" ref="AV225:AV233" si="89">AT225*AS225</f>
        <v>0</v>
      </c>
      <c r="AW225" s="861">
        <f>SUM(AV225:AV233)</f>
        <v>0</v>
      </c>
      <c r="AY225" s="344" t="s">
        <v>770</v>
      </c>
      <c r="AZ225" s="31" t="s">
        <v>771</v>
      </c>
      <c r="BB225" s="821" t="e">
        <f>BB207</f>
        <v>#REF!</v>
      </c>
      <c r="BC225" t="s">
        <v>772</v>
      </c>
      <c r="BD225" s="811">
        <f>BD207</f>
        <v>0</v>
      </c>
      <c r="BE225" s="811">
        <f t="shared" ref="BE225:BO225" si="90">BE207</f>
        <v>0</v>
      </c>
      <c r="BF225" s="811">
        <f t="shared" si="90"/>
        <v>0</v>
      </c>
      <c r="BG225" s="811">
        <f t="shared" si="90"/>
        <v>0</v>
      </c>
      <c r="BH225" s="811">
        <f t="shared" si="90"/>
        <v>0</v>
      </c>
      <c r="BI225" s="811">
        <f t="shared" si="90"/>
        <v>0</v>
      </c>
      <c r="BJ225" s="811">
        <f t="shared" si="90"/>
        <v>0</v>
      </c>
      <c r="BK225" s="811">
        <f t="shared" si="90"/>
        <v>0</v>
      </c>
      <c r="BL225" s="811">
        <f t="shared" si="90"/>
        <v>0</v>
      </c>
      <c r="BM225" s="811">
        <f t="shared" si="90"/>
        <v>0</v>
      </c>
      <c r="BN225" s="811">
        <f t="shared" si="90"/>
        <v>0</v>
      </c>
      <c r="BO225" s="811">
        <f t="shared" si="90"/>
        <v>0</v>
      </c>
      <c r="BQ225" s="15">
        <f>Loomakasvatus!AI98</f>
        <v>0</v>
      </c>
      <c r="BR225" s="16">
        <f>Loomakasvatus!AJ98</f>
        <v>0</v>
      </c>
      <c r="BS225" s="16">
        <f>IFERROR(VLOOKUP(BQ225,EFid!$A$243:$D$250,2,FALSE),0)</f>
        <v>0</v>
      </c>
      <c r="BT225" s="16"/>
      <c r="BU225" s="1066">
        <f t="shared" ref="BU225:BU233" si="91">BS225*BR225</f>
        <v>0</v>
      </c>
      <c r="BV225" s="861">
        <f>SUM(BU225:BU233)</f>
        <v>0</v>
      </c>
    </row>
    <row r="226" spans="1:74">
      <c r="A226" s="344" t="s">
        <v>792</v>
      </c>
      <c r="B226" s="31" t="s">
        <v>793</v>
      </c>
      <c r="D226" s="821" t="e">
        <f>VLOOKUP(Loomakasvatus!#REF!,'M1 - LK'!J174:K180,2,FALSE)</f>
        <v>#REF!</v>
      </c>
      <c r="E226" t="s">
        <v>34</v>
      </c>
      <c r="F226" s="811">
        <f>IFERROR(VLOOKUP(Loomakasvatus!C16,'M1 - LK'!$K$251:$L$257,2,FALSE),0)</f>
        <v>0</v>
      </c>
      <c r="G226" s="811">
        <f>IFERROR(VLOOKUP(Loomakasvatus!D16,'M1 - LK'!$K$251:$L$257,2,FALSE),0)</f>
        <v>0</v>
      </c>
      <c r="H226" s="811">
        <f>IFERROR(VLOOKUP(Loomakasvatus!E16,'M1 - LK'!$K$251:$L$257,2,FALSE),0)</f>
        <v>0</v>
      </c>
      <c r="I226" s="811">
        <f>IFERROR(VLOOKUP(Loomakasvatus!F16,'M1 - LK'!$K$251:$L$257,2,FALSE),0)</f>
        <v>0</v>
      </c>
      <c r="J226" s="811">
        <f>IFERROR(VLOOKUP(Loomakasvatus!G16,'M1 - LK'!$K$251:$L$257,2,FALSE),0)</f>
        <v>0</v>
      </c>
      <c r="K226" s="811">
        <f>IFERROR(VLOOKUP(Loomakasvatus!H16,'M1 - LK'!$K$251:$L$257,2,FALSE),0)</f>
        <v>0</v>
      </c>
      <c r="L226" s="811">
        <f>IFERROR(VLOOKUP(Loomakasvatus!I16,'M1 - LK'!$K$251:$L$257,2,FALSE),0)</f>
        <v>0</v>
      </c>
      <c r="M226" s="811">
        <f>IFERROR(VLOOKUP(Loomakasvatus!J16,'M1 - LK'!$K$251:$L$257,2,FALSE),0)</f>
        <v>0</v>
      </c>
      <c r="N226" s="811">
        <f>IFERROR(VLOOKUP(Loomakasvatus!K16,'M1 - LK'!$K$251:$L$257,2,FALSE),0)</f>
        <v>0</v>
      </c>
      <c r="O226" s="811">
        <f>IFERROR(VLOOKUP(Loomakasvatus!L16,'M1 - LK'!$K$251:$L$257,2,FALSE),0)</f>
        <v>0</v>
      </c>
      <c r="P226" s="811">
        <f>IFERROR(VLOOKUP(Loomakasvatus!M16,'M1 - LK'!$K$251:$L$257,2,FALSE),0)</f>
        <v>0</v>
      </c>
      <c r="Q226" s="811">
        <f>IFERROR(VLOOKUP(Loomakasvatus!N16,'M1 - LK'!$K$251:$L$257,2,FALSE),0)</f>
        <v>0</v>
      </c>
      <c r="S226" s="15" t="s">
        <v>452</v>
      </c>
      <c r="T226" s="16"/>
      <c r="U226" s="16"/>
      <c r="V226" s="16"/>
      <c r="W226" s="16"/>
      <c r="X226" s="17"/>
      <c r="Z226" s="344" t="s">
        <v>792</v>
      </c>
      <c r="AA226" s="31" t="s">
        <v>793</v>
      </c>
      <c r="AC226" s="821" t="e">
        <f>VLOOKUP(Loomakasvatus!#REF!,'M1 - LK'!AI174:AJ180,2,FALSE)</f>
        <v>#REF!</v>
      </c>
      <c r="AD226" t="s">
        <v>34</v>
      </c>
      <c r="AE226" s="811">
        <f>IFERROR(VLOOKUP(Loomakasvatus!S16,'M1 - LK'!$K$251:$L$257,2,FALSE),0)</f>
        <v>0</v>
      </c>
      <c r="AF226" s="811">
        <f>IFERROR(VLOOKUP(Loomakasvatus!T16,'M1 - LK'!$K$251:$L$257,2,FALSE),0)</f>
        <v>0</v>
      </c>
      <c r="AG226" s="811">
        <f>IFERROR(VLOOKUP(Loomakasvatus!U16,'M1 - LK'!$K$251:$L$257,2,FALSE),0)</f>
        <v>0</v>
      </c>
      <c r="AH226" s="811">
        <f>IFERROR(VLOOKUP(Loomakasvatus!V16,'M1 - LK'!$K$251:$L$257,2,FALSE),0)</f>
        <v>0</v>
      </c>
      <c r="AI226" s="811">
        <f>IFERROR(VLOOKUP(Loomakasvatus!W16,'M1 - LK'!$K$251:$L$257,2,FALSE),0)</f>
        <v>0</v>
      </c>
      <c r="AJ226" s="811">
        <f>IFERROR(VLOOKUP(Loomakasvatus!X16,'M1 - LK'!$K$251:$L$257,2,FALSE),0)</f>
        <v>0</v>
      </c>
      <c r="AK226" s="811">
        <f>IFERROR(VLOOKUP(Loomakasvatus!Y16,'M1 - LK'!$K$251:$L$257,2,FALSE),0)</f>
        <v>0</v>
      </c>
      <c r="AL226" s="811">
        <f>IFERROR(VLOOKUP(Loomakasvatus!Z16,'M1 - LK'!$K$251:$L$257,2,FALSE),0)</f>
        <v>0</v>
      </c>
      <c r="AM226" s="811">
        <f>IFERROR(VLOOKUP(Loomakasvatus!AA16,'M1 - LK'!$K$251:$L$257,2,FALSE),0)</f>
        <v>0</v>
      </c>
      <c r="AN226" s="811">
        <f>IFERROR(VLOOKUP(Loomakasvatus!AB16,'M1 - LK'!$K$251:$L$257,2,FALSE),0)</f>
        <v>0</v>
      </c>
      <c r="AO226" s="811">
        <f>IFERROR(VLOOKUP(Loomakasvatus!AC16,'M1 - LK'!$K$251:$L$257,2,FALSE),0)</f>
        <v>0</v>
      </c>
      <c r="AP226" s="811">
        <f>IFERROR(VLOOKUP(Loomakasvatus!AD16,'M1 - LK'!$K$251:$L$257,2,FALSE),0)</f>
        <v>0</v>
      </c>
      <c r="AR226" s="20">
        <f>Loomakasvatus!S99</f>
        <v>0</v>
      </c>
      <c r="AS226">
        <f>Loomakasvatus!T99</f>
        <v>0</v>
      </c>
      <c r="AT226">
        <f>IFERROR(VLOOKUP(AR226,EFid!$A$243:$D$250,2,FALSE),0)</f>
        <v>0</v>
      </c>
      <c r="AV226" s="11">
        <f t="shared" si="89"/>
        <v>0</v>
      </c>
      <c r="AW226" s="21"/>
      <c r="AY226" s="344" t="s">
        <v>792</v>
      </c>
      <c r="AZ226" s="31" t="s">
        <v>793</v>
      </c>
      <c r="BB226" s="821" t="e">
        <f>VLOOKUP(Loomakasvatus!#REF!,'M1 - LK'!BH174:BI180,2,FALSE)</f>
        <v>#REF!</v>
      </c>
      <c r="BC226" t="s">
        <v>34</v>
      </c>
      <c r="BD226" s="811">
        <f>IFERROR(VLOOKUP(Loomakasvatus!AI16,'M1 - LK'!$K$251:$L$257,2,FALSE),0)</f>
        <v>0</v>
      </c>
      <c r="BE226" s="811">
        <f>IFERROR(VLOOKUP(Loomakasvatus!AJ16,'M1 - LK'!$K$251:$L$257,2,FALSE),0)</f>
        <v>0</v>
      </c>
      <c r="BF226" s="811">
        <f>IFERROR(VLOOKUP(Loomakasvatus!AK16,'M1 - LK'!$K$251:$L$257,2,FALSE),0)</f>
        <v>0</v>
      </c>
      <c r="BG226" s="811">
        <f>IFERROR(VLOOKUP(Loomakasvatus!AL16,'M1 - LK'!$K$251:$L$257,2,FALSE),0)</f>
        <v>0</v>
      </c>
      <c r="BH226" s="811">
        <f>IFERROR(VLOOKUP(Loomakasvatus!AM16,'M1 - LK'!$K$251:$L$257,2,FALSE),0)</f>
        <v>0</v>
      </c>
      <c r="BI226" s="811">
        <f>IFERROR(VLOOKUP(Loomakasvatus!AN16,'M1 - LK'!$K$251:$L$257,2,FALSE),0)</f>
        <v>0</v>
      </c>
      <c r="BJ226" s="811">
        <f>IFERROR(VLOOKUP(Loomakasvatus!AO16,'M1 - LK'!$K$251:$L$257,2,FALSE),0)</f>
        <v>0</v>
      </c>
      <c r="BK226" s="811">
        <f>IFERROR(VLOOKUP(Loomakasvatus!AP16,'M1 - LK'!$K$251:$L$257,2,FALSE),0)</f>
        <v>0</v>
      </c>
      <c r="BL226" s="811">
        <f>IFERROR(VLOOKUP(Loomakasvatus!AQ16,'M1 - LK'!$K$251:$L$257,2,FALSE),0)</f>
        <v>0</v>
      </c>
      <c r="BM226" s="811">
        <f>IFERROR(VLOOKUP(Loomakasvatus!AR16,'M1 - LK'!$K$251:$L$257,2,FALSE),0)</f>
        <v>0</v>
      </c>
      <c r="BN226" s="811">
        <f>IFERROR(VLOOKUP(Loomakasvatus!AS16,'M1 - LK'!$K$251:$L$257,2,FALSE),0)</f>
        <v>0</v>
      </c>
      <c r="BO226" s="811">
        <f>IFERROR(VLOOKUP(Loomakasvatus!AT16,'M1 - LK'!$K$251:$L$257,2,FALSE),0)</f>
        <v>0</v>
      </c>
      <c r="BQ226" s="20">
        <f>Loomakasvatus!AI99</f>
        <v>0</v>
      </c>
      <c r="BR226">
        <f>Loomakasvatus!AJ99</f>
        <v>0</v>
      </c>
      <c r="BS226">
        <f>IFERROR(VLOOKUP(BQ226,EFid!$A$243:$D$250,2,FALSE),0)</f>
        <v>0</v>
      </c>
      <c r="BU226" s="11">
        <f t="shared" si="91"/>
        <v>0</v>
      </c>
      <c r="BV226" s="21"/>
    </row>
    <row r="227" spans="1:74">
      <c r="A227" s="193" t="s">
        <v>794</v>
      </c>
      <c r="B227" s="178"/>
      <c r="C227" s="178"/>
      <c r="D227" s="194"/>
      <c r="S227" s="365">
        <f>Loomakasvatus!C98</f>
        <v>0</v>
      </c>
      <c r="T227" s="3">
        <f>Loomakasvatus!D98</f>
        <v>0</v>
      </c>
      <c r="U227" s="3">
        <f>IFERROR(VLOOKUP(S227,EFid!$A$243:$D$250,2,FALSE),0)</f>
        <v>0</v>
      </c>
      <c r="V227" s="3"/>
      <c r="W227" s="9">
        <f t="shared" ref="W227:W235" si="92">U227*T227</f>
        <v>0</v>
      </c>
      <c r="X227" s="445">
        <f>SUM(W227:W235)</f>
        <v>0</v>
      </c>
      <c r="Z227" s="193" t="s">
        <v>794</v>
      </c>
      <c r="AA227" s="178"/>
      <c r="AB227" s="178"/>
      <c r="AC227" s="194"/>
      <c r="AR227" s="20">
        <f>Loomakasvatus!S100</f>
        <v>0</v>
      </c>
      <c r="AS227">
        <f>Loomakasvatus!T100</f>
        <v>0</v>
      </c>
      <c r="AT227">
        <f>IFERROR(VLOOKUP(AR227,EFid!$A$243:$D$250,2,FALSE),0)</f>
        <v>0</v>
      </c>
      <c r="AV227" s="11">
        <f t="shared" si="89"/>
        <v>0</v>
      </c>
      <c r="AW227" s="21"/>
      <c r="AY227" s="193" t="s">
        <v>794</v>
      </c>
      <c r="AZ227" s="178"/>
      <c r="BA227" s="178"/>
      <c r="BB227" s="194"/>
      <c r="BQ227" s="20">
        <f>Loomakasvatus!AI100</f>
        <v>0</v>
      </c>
      <c r="BR227">
        <f>Loomakasvatus!AJ100</f>
        <v>0</v>
      </c>
      <c r="BS227">
        <f>IFERROR(VLOOKUP(BQ227,EFid!$A$243:$D$250,2,FALSE),0)</f>
        <v>0</v>
      </c>
      <c r="BU227" s="11">
        <f t="shared" si="91"/>
        <v>0</v>
      </c>
      <c r="BV227" s="21"/>
    </row>
    <row r="228" spans="1:74">
      <c r="A228" s="188" t="s">
        <v>795</v>
      </c>
      <c r="B228" s="189"/>
      <c r="C228" s="189"/>
      <c r="D228" s="190"/>
      <c r="S228" s="20">
        <f>Loomakasvatus!C99</f>
        <v>0</v>
      </c>
      <c r="T228">
        <f>Loomakasvatus!D99</f>
        <v>0</v>
      </c>
      <c r="U228">
        <f>IFERROR(VLOOKUP(S228,EFid!$A$243:$D$250,2,FALSE),0)</f>
        <v>0</v>
      </c>
      <c r="W228" s="11">
        <f t="shared" si="92"/>
        <v>0</v>
      </c>
      <c r="X228" s="21"/>
      <c r="Z228" s="188" t="s">
        <v>795</v>
      </c>
      <c r="AA228" s="189"/>
      <c r="AB228" s="189"/>
      <c r="AC228" s="190"/>
      <c r="AR228" s="20">
        <f>Loomakasvatus!S101</f>
        <v>0</v>
      </c>
      <c r="AS228">
        <f>Loomakasvatus!T101</f>
        <v>0</v>
      </c>
      <c r="AT228">
        <f>IFERROR(VLOOKUP(AR228,EFid!$A$243:$D$250,2,FALSE),0)</f>
        <v>0</v>
      </c>
      <c r="AU228" s="174"/>
      <c r="AV228" s="11">
        <f t="shared" si="89"/>
        <v>0</v>
      </c>
      <c r="AW228" s="21"/>
      <c r="AY228" s="188" t="s">
        <v>795</v>
      </c>
      <c r="AZ228" s="189"/>
      <c r="BA228" s="189"/>
      <c r="BB228" s="190"/>
      <c r="BQ228" s="20">
        <f>Loomakasvatus!AI101</f>
        <v>0</v>
      </c>
      <c r="BR228">
        <f>Loomakasvatus!AJ101</f>
        <v>0</v>
      </c>
      <c r="BS228">
        <f>IFERROR(VLOOKUP(BQ228,EFid!$A$243:$D$250,2,FALSE),0)</f>
        <v>0</v>
      </c>
      <c r="BT228" s="174"/>
      <c r="BU228" s="11">
        <f t="shared" si="91"/>
        <v>0</v>
      </c>
      <c r="BV228" s="21"/>
    </row>
    <row r="229" spans="1:74">
      <c r="A229" s="115" t="s">
        <v>798</v>
      </c>
      <c r="B229" s="31" t="s">
        <v>799</v>
      </c>
      <c r="D229" s="42">
        <f>SUM(F229:Q229)</f>
        <v>0</v>
      </c>
      <c r="E229" t="s">
        <v>772</v>
      </c>
      <c r="F229" s="42">
        <f>F230*F231*F232</f>
        <v>0</v>
      </c>
      <c r="G229" s="42">
        <f t="shared" ref="G229:Q229" si="93">G230*G231*G232</f>
        <v>0</v>
      </c>
      <c r="H229" s="42">
        <f t="shared" si="93"/>
        <v>0</v>
      </c>
      <c r="I229" s="42">
        <f t="shared" si="93"/>
        <v>0</v>
      </c>
      <c r="J229" s="42">
        <f t="shared" si="93"/>
        <v>0</v>
      </c>
      <c r="K229" s="42">
        <f t="shared" si="93"/>
        <v>0</v>
      </c>
      <c r="L229" s="42">
        <f t="shared" si="93"/>
        <v>0</v>
      </c>
      <c r="M229" s="42">
        <f t="shared" si="93"/>
        <v>0</v>
      </c>
      <c r="N229" s="42">
        <f t="shared" si="93"/>
        <v>0</v>
      </c>
      <c r="O229" s="42">
        <f t="shared" si="93"/>
        <v>0</v>
      </c>
      <c r="P229" s="42">
        <f t="shared" si="93"/>
        <v>0</v>
      </c>
      <c r="Q229" s="42">
        <f t="shared" si="93"/>
        <v>0</v>
      </c>
      <c r="S229" s="20">
        <f>Loomakasvatus!C100</f>
        <v>0</v>
      </c>
      <c r="T229">
        <f>Loomakasvatus!D100</f>
        <v>0</v>
      </c>
      <c r="U229">
        <f>IFERROR(VLOOKUP(S229,EFid!$A$243:$D$250,2,FALSE),0)</f>
        <v>0</v>
      </c>
      <c r="W229" s="11">
        <f t="shared" si="92"/>
        <v>0</v>
      </c>
      <c r="X229" s="21"/>
      <c r="Z229" s="115" t="s">
        <v>798</v>
      </c>
      <c r="AA229" s="31" t="s">
        <v>799</v>
      </c>
      <c r="AC229" s="42">
        <f>SUM(AE229:AP229)</f>
        <v>0</v>
      </c>
      <c r="AD229" t="s">
        <v>772</v>
      </c>
      <c r="AE229" s="42">
        <f>AE230*AE231*AE232</f>
        <v>0</v>
      </c>
      <c r="AF229" s="42">
        <f t="shared" ref="AF229:AP229" si="94">AF230*AF231*AF232</f>
        <v>0</v>
      </c>
      <c r="AG229" s="42">
        <f t="shared" si="94"/>
        <v>0</v>
      </c>
      <c r="AH229" s="42">
        <f t="shared" si="94"/>
        <v>0</v>
      </c>
      <c r="AI229" s="42">
        <f t="shared" si="94"/>
        <v>0</v>
      </c>
      <c r="AJ229" s="42">
        <f t="shared" si="94"/>
        <v>0</v>
      </c>
      <c r="AK229" s="42">
        <f t="shared" si="94"/>
        <v>0</v>
      </c>
      <c r="AL229" s="42">
        <f t="shared" si="94"/>
        <v>0</v>
      </c>
      <c r="AM229" s="42">
        <f t="shared" si="94"/>
        <v>0</v>
      </c>
      <c r="AN229" s="42">
        <f t="shared" si="94"/>
        <v>0</v>
      </c>
      <c r="AO229" s="42">
        <f t="shared" si="94"/>
        <v>0</v>
      </c>
      <c r="AP229" s="42">
        <f t="shared" si="94"/>
        <v>0</v>
      </c>
      <c r="AR229" s="20">
        <f>Loomakasvatus!S102</f>
        <v>0</v>
      </c>
      <c r="AS229">
        <f>Loomakasvatus!T102</f>
        <v>0</v>
      </c>
      <c r="AT229">
        <f>IFERROR(VLOOKUP(AR229,EFid!$A$243:$D$250,2,FALSE),0)</f>
        <v>0</v>
      </c>
      <c r="AV229" s="11">
        <f t="shared" si="89"/>
        <v>0</v>
      </c>
      <c r="AW229" s="21"/>
      <c r="AY229" s="115" t="s">
        <v>798</v>
      </c>
      <c r="AZ229" s="31" t="s">
        <v>799</v>
      </c>
      <c r="BB229" s="42">
        <f>SUM(BD229:BO229)</f>
        <v>0</v>
      </c>
      <c r="BC229" t="s">
        <v>772</v>
      </c>
      <c r="BD229" s="42">
        <f>BD230*BD231*BD232</f>
        <v>0</v>
      </c>
      <c r="BE229" s="42">
        <f t="shared" ref="BE229:BO229" si="95">BE230*BE231*BE232</f>
        <v>0</v>
      </c>
      <c r="BF229" s="42">
        <f t="shared" si="95"/>
        <v>0</v>
      </c>
      <c r="BG229" s="42">
        <f t="shared" si="95"/>
        <v>0</v>
      </c>
      <c r="BH229" s="42">
        <f t="shared" si="95"/>
        <v>0</v>
      </c>
      <c r="BI229" s="42">
        <f t="shared" si="95"/>
        <v>0</v>
      </c>
      <c r="BJ229" s="42">
        <f t="shared" si="95"/>
        <v>0</v>
      </c>
      <c r="BK229" s="42">
        <f t="shared" si="95"/>
        <v>0</v>
      </c>
      <c r="BL229" s="42">
        <f t="shared" si="95"/>
        <v>0</v>
      </c>
      <c r="BM229" s="42">
        <f t="shared" si="95"/>
        <v>0</v>
      </c>
      <c r="BN229" s="42">
        <f t="shared" si="95"/>
        <v>0</v>
      </c>
      <c r="BO229" s="42">
        <f t="shared" si="95"/>
        <v>0</v>
      </c>
      <c r="BQ229" s="20">
        <f>Loomakasvatus!AI102</f>
        <v>0</v>
      </c>
      <c r="BR229">
        <f>Loomakasvatus!AJ102</f>
        <v>0</v>
      </c>
      <c r="BS229">
        <f>IFERROR(VLOOKUP(BQ229,EFid!$A$243:$D$250,2,FALSE),0)</f>
        <v>0</v>
      </c>
      <c r="BU229" s="11">
        <f t="shared" si="91"/>
        <v>0</v>
      </c>
      <c r="BV229" s="21"/>
    </row>
    <row r="230" spans="1:74">
      <c r="A230" s="344" t="s">
        <v>446</v>
      </c>
      <c r="B230" s="31" t="s">
        <v>800</v>
      </c>
      <c r="D230" s="821">
        <f>D216</f>
        <v>0</v>
      </c>
      <c r="E230" t="s">
        <v>299</v>
      </c>
      <c r="F230" s="811">
        <f>Loomakasvatus!C14</f>
        <v>0</v>
      </c>
      <c r="G230" s="811">
        <f>Loomakasvatus!D14</f>
        <v>0</v>
      </c>
      <c r="H230" s="811">
        <f>Loomakasvatus!E14</f>
        <v>0</v>
      </c>
      <c r="I230" s="811">
        <f>Loomakasvatus!F14</f>
        <v>0</v>
      </c>
      <c r="J230" s="811">
        <f>Loomakasvatus!G14</f>
        <v>0</v>
      </c>
      <c r="K230" s="811">
        <f>Loomakasvatus!H14</f>
        <v>0</v>
      </c>
      <c r="L230" s="811">
        <f>Loomakasvatus!I14</f>
        <v>0</v>
      </c>
      <c r="M230" s="811">
        <f>Loomakasvatus!J14</f>
        <v>0</v>
      </c>
      <c r="N230" s="811">
        <f>Loomakasvatus!K14</f>
        <v>0</v>
      </c>
      <c r="O230" s="811">
        <f>Loomakasvatus!L14</f>
        <v>0</v>
      </c>
      <c r="P230" s="811">
        <f>Loomakasvatus!M14</f>
        <v>0</v>
      </c>
      <c r="Q230" s="811">
        <f>Loomakasvatus!N14</f>
        <v>0</v>
      </c>
      <c r="S230" s="20">
        <f>Loomakasvatus!C101</f>
        <v>0</v>
      </c>
      <c r="T230">
        <f>Loomakasvatus!D101</f>
        <v>0</v>
      </c>
      <c r="U230">
        <f>IFERROR(VLOOKUP(S230,EFid!$A$243:$D$250,2,FALSE),0)</f>
        <v>0</v>
      </c>
      <c r="W230" s="11">
        <f t="shared" si="92"/>
        <v>0</v>
      </c>
      <c r="X230" s="21"/>
      <c r="Z230" s="344" t="s">
        <v>446</v>
      </c>
      <c r="AA230" s="31" t="s">
        <v>800</v>
      </c>
      <c r="AC230" s="821">
        <f>AC216</f>
        <v>0</v>
      </c>
      <c r="AD230" t="s">
        <v>299</v>
      </c>
      <c r="AE230" s="811">
        <f>Loomakasvatus!S14</f>
        <v>0</v>
      </c>
      <c r="AF230" s="811">
        <f>Loomakasvatus!T14</f>
        <v>0</v>
      </c>
      <c r="AG230" s="811">
        <f>Loomakasvatus!U14</f>
        <v>0</v>
      </c>
      <c r="AH230" s="811">
        <f>Loomakasvatus!V14</f>
        <v>0</v>
      </c>
      <c r="AI230" s="811">
        <f>Loomakasvatus!W14</f>
        <v>0</v>
      </c>
      <c r="AJ230" s="811">
        <f>Loomakasvatus!X14</f>
        <v>0</v>
      </c>
      <c r="AK230" s="811">
        <f>Loomakasvatus!Y14</f>
        <v>0</v>
      </c>
      <c r="AL230" s="811">
        <f>Loomakasvatus!Z14</f>
        <v>0</v>
      </c>
      <c r="AM230" s="811">
        <f>Loomakasvatus!AA14</f>
        <v>0</v>
      </c>
      <c r="AN230" s="811">
        <f>Loomakasvatus!AB14</f>
        <v>0</v>
      </c>
      <c r="AO230" s="811">
        <f>Loomakasvatus!AC14</f>
        <v>0</v>
      </c>
      <c r="AP230" s="811">
        <f>Loomakasvatus!AD14</f>
        <v>0</v>
      </c>
      <c r="AR230" s="20">
        <f>Loomakasvatus!S103</f>
        <v>0</v>
      </c>
      <c r="AS230">
        <f>Loomakasvatus!T103</f>
        <v>0</v>
      </c>
      <c r="AT230">
        <f>IFERROR(VLOOKUP(AR230,EFid!$A$243:$D$250,2,FALSE),0)</f>
        <v>0</v>
      </c>
      <c r="AV230" s="11">
        <f t="shared" si="89"/>
        <v>0</v>
      </c>
      <c r="AW230" s="21"/>
      <c r="AY230" s="344" t="s">
        <v>446</v>
      </c>
      <c r="AZ230" s="31" t="s">
        <v>800</v>
      </c>
      <c r="BB230" s="821">
        <f>BB216</f>
        <v>0</v>
      </c>
      <c r="BC230" t="s">
        <v>299</v>
      </c>
      <c r="BD230" s="811">
        <f>Loomakasvatus!AI14</f>
        <v>0</v>
      </c>
      <c r="BE230" s="811">
        <f>Loomakasvatus!AJ14</f>
        <v>0</v>
      </c>
      <c r="BF230" s="811">
        <f>Loomakasvatus!AK14</f>
        <v>0</v>
      </c>
      <c r="BG230" s="811">
        <f>Loomakasvatus!AL14</f>
        <v>0</v>
      </c>
      <c r="BH230" s="811">
        <f>Loomakasvatus!AM14</f>
        <v>0</v>
      </c>
      <c r="BI230" s="811">
        <f>Loomakasvatus!AN14</f>
        <v>0</v>
      </c>
      <c r="BJ230" s="811">
        <f>Loomakasvatus!AO14</f>
        <v>0</v>
      </c>
      <c r="BK230" s="811">
        <f>Loomakasvatus!AP14</f>
        <v>0</v>
      </c>
      <c r="BL230" s="811">
        <f>Loomakasvatus!AQ14</f>
        <v>0</v>
      </c>
      <c r="BM230" s="811">
        <f>Loomakasvatus!AR14</f>
        <v>0</v>
      </c>
      <c r="BN230" s="811">
        <f>Loomakasvatus!AS14</f>
        <v>0</v>
      </c>
      <c r="BO230" s="811">
        <f>Loomakasvatus!AT14</f>
        <v>0</v>
      </c>
      <c r="BQ230" s="20">
        <f>Loomakasvatus!AI103</f>
        <v>0</v>
      </c>
      <c r="BR230">
        <f>Loomakasvatus!AJ103</f>
        <v>0</v>
      </c>
      <c r="BS230">
        <f>IFERROR(VLOOKUP(BQ230,EFid!$A$243:$D$250,2,FALSE),0)</f>
        <v>0</v>
      </c>
      <c r="BU230" s="11">
        <f t="shared" si="91"/>
        <v>0</v>
      </c>
      <c r="BV230" s="21"/>
    </row>
    <row r="231" spans="1:74">
      <c r="A231" s="344" t="s">
        <v>801</v>
      </c>
      <c r="B231" s="31" t="s">
        <v>784</v>
      </c>
      <c r="D231" s="821" t="e">
        <f>VLOOKUP(Loomakasvatus!#REF!,'M1 - LK'!K184:L185,2,FALSE)+VLOOKUP(Loomakasvatus!#REF!,'M1 - LK'!K186:L187,2,FALSE)</f>
        <v>#REF!</v>
      </c>
      <c r="E231" t="s">
        <v>758</v>
      </c>
      <c r="F231" s="822">
        <f>IFERROR(VLOOKUP(Loomakasvatus!C15,'M1 - LK'!$L$261:$M$263,2,FALSE),0)</f>
        <v>0</v>
      </c>
      <c r="G231" s="822">
        <f>IFERROR(VLOOKUP(Loomakasvatus!D15,'M1 - LK'!$L$261:$M$263,2,FALSE),0)</f>
        <v>0</v>
      </c>
      <c r="H231" s="822">
        <f>IFERROR(VLOOKUP(Loomakasvatus!E15,'M1 - LK'!$L$261:$M$263,2,FALSE),0)</f>
        <v>0</v>
      </c>
      <c r="I231" s="822">
        <f>IFERROR(VLOOKUP(Loomakasvatus!F15,'M1 - LK'!$L$261:$M$263,2,FALSE),0)</f>
        <v>0</v>
      </c>
      <c r="J231" s="822">
        <f>IFERROR(VLOOKUP(Loomakasvatus!G15,'M1 - LK'!$L$261:$M$263,2,FALSE),0)</f>
        <v>0</v>
      </c>
      <c r="K231" s="822">
        <f>IFERROR(VLOOKUP(Loomakasvatus!H15,'M1 - LK'!$L$261:$M$263,2,FALSE),0)</f>
        <v>0</v>
      </c>
      <c r="L231" s="822">
        <f>IFERROR(VLOOKUP(Loomakasvatus!I15,'M1 - LK'!$L$264:$M$266,2,FALSE),0)</f>
        <v>0</v>
      </c>
      <c r="M231" s="822">
        <f>IFERROR(VLOOKUP(Loomakasvatus!J15,'M1 - LK'!$L$264:$M$266,2,FALSE),0)</f>
        <v>0</v>
      </c>
      <c r="N231" s="822">
        <f>IFERROR(VLOOKUP(Loomakasvatus!K15,'M1 - LK'!$L$264:$M$266,2,FALSE),0)</f>
        <v>0</v>
      </c>
      <c r="O231" s="822">
        <f>IFERROR(VLOOKUP(Loomakasvatus!L15,'M1 - LK'!$L$264:$M$266,2,FALSE),0)</f>
        <v>0</v>
      </c>
      <c r="P231" s="822">
        <f>IFERROR(VLOOKUP(Loomakasvatus!M15,'M1 - LK'!$L$264:$M$266,2,FALSE),0)</f>
        <v>0</v>
      </c>
      <c r="Q231" s="822">
        <f>IFERROR(VLOOKUP(Loomakasvatus!N15,'M1 - LK'!$L$264:$M$266,2,FALSE),0)</f>
        <v>0</v>
      </c>
      <c r="S231" s="20">
        <f>Loomakasvatus!C102</f>
        <v>0</v>
      </c>
      <c r="T231">
        <f>Loomakasvatus!D102</f>
        <v>0</v>
      </c>
      <c r="U231">
        <f>IFERROR(VLOOKUP(S231,EFid!$A$243:$D$250,2,FALSE),0)</f>
        <v>0</v>
      </c>
      <c r="W231" s="11">
        <f t="shared" si="92"/>
        <v>0</v>
      </c>
      <c r="X231" s="21"/>
      <c r="Z231" s="344" t="s">
        <v>801</v>
      </c>
      <c r="AA231" s="31" t="s">
        <v>784</v>
      </c>
      <c r="AC231" s="821" t="e">
        <f>VLOOKUP(Loomakasvatus!#REF!,'M1 - LK'!AJ184:AK185,2,FALSE)+VLOOKUP(Loomakasvatus!#REF!,'M1 - LK'!AJ186:AK187,2,FALSE)</f>
        <v>#REF!</v>
      </c>
      <c r="AD231" t="s">
        <v>758</v>
      </c>
      <c r="AE231" s="822">
        <f>IFERROR(VLOOKUP(Loomakasvatus!S15,'M1 - LK'!$L$261:$M$263,2,FALSE),0)</f>
        <v>0</v>
      </c>
      <c r="AF231" s="822">
        <f>IFERROR(VLOOKUP(Loomakasvatus!T15,'M1 - LK'!$L$261:$M$263,2,FALSE),0)</f>
        <v>0</v>
      </c>
      <c r="AG231" s="822">
        <f>IFERROR(VLOOKUP(Loomakasvatus!U15,'M1 - LK'!$L$261:$M$263,2,FALSE),0)</f>
        <v>0</v>
      </c>
      <c r="AH231" s="822">
        <f>IFERROR(VLOOKUP(Loomakasvatus!V15,'M1 - LK'!$L$261:$M$263,2,FALSE),0)</f>
        <v>0</v>
      </c>
      <c r="AI231" s="822">
        <f>IFERROR(VLOOKUP(Loomakasvatus!W15,'M1 - LK'!$L$261:$M$263,2,FALSE),0)</f>
        <v>0</v>
      </c>
      <c r="AJ231" s="822">
        <f>IFERROR(VLOOKUP(Loomakasvatus!X15,'M1 - LK'!$L$261:$M$263,2,FALSE),0)</f>
        <v>0</v>
      </c>
      <c r="AK231" s="822">
        <f>IFERROR(VLOOKUP(Loomakasvatus!Y15,'M1 - LK'!$L$264:$M$266,2,FALSE),0)</f>
        <v>0</v>
      </c>
      <c r="AL231" s="822">
        <f>IFERROR(VLOOKUP(Loomakasvatus!Z15,'M1 - LK'!$L$264:$M$266,2,FALSE),0)</f>
        <v>0</v>
      </c>
      <c r="AM231" s="822">
        <f>IFERROR(VLOOKUP(Loomakasvatus!AA15,'M1 - LK'!$L$264:$M$266,2,FALSE),0)</f>
        <v>0</v>
      </c>
      <c r="AN231" s="822">
        <f>IFERROR(VLOOKUP(Loomakasvatus!AB15,'M1 - LK'!$L$264:$M$266,2,FALSE),0)</f>
        <v>0</v>
      </c>
      <c r="AO231" s="822">
        <f>IFERROR(VLOOKUP(Loomakasvatus!AC15,'M1 - LK'!$L$264:$M$266,2,FALSE),0)</f>
        <v>0</v>
      </c>
      <c r="AP231" s="822">
        <f>IFERROR(VLOOKUP(Loomakasvatus!AD15,'M1 - LK'!$L$264:$M$266,2,FALSE),0)</f>
        <v>0</v>
      </c>
      <c r="AR231" s="20">
        <f>Loomakasvatus!S104</f>
        <v>0</v>
      </c>
      <c r="AS231">
        <f>Loomakasvatus!T104</f>
        <v>0</v>
      </c>
      <c r="AT231">
        <f>IFERROR(VLOOKUP(AR231,EFid!$A$243:$D$250,2,FALSE),0)</f>
        <v>0</v>
      </c>
      <c r="AV231" s="11">
        <f t="shared" si="89"/>
        <v>0</v>
      </c>
      <c r="AW231" s="21"/>
      <c r="AY231" s="344" t="s">
        <v>801</v>
      </c>
      <c r="AZ231" s="31" t="s">
        <v>784</v>
      </c>
      <c r="BB231" s="821" t="e">
        <f>VLOOKUP(Loomakasvatus!#REF!,'M1 - LK'!BI184:BJ185,2,FALSE)+VLOOKUP(Loomakasvatus!#REF!,'M1 - LK'!BI186:BJ187,2,FALSE)</f>
        <v>#REF!</v>
      </c>
      <c r="BC231" t="s">
        <v>758</v>
      </c>
      <c r="BD231" s="822">
        <f>IFERROR(VLOOKUP(Loomakasvatus!AI15,'M1 - LK'!$L$261:$M$263,2,FALSE),0)</f>
        <v>0</v>
      </c>
      <c r="BE231" s="822">
        <f>IFERROR(VLOOKUP(Loomakasvatus!AJ15,'M1 - LK'!$L$261:$M$263,2,FALSE),0)</f>
        <v>0</v>
      </c>
      <c r="BF231" s="822">
        <f>IFERROR(VLOOKUP(Loomakasvatus!AK15,'M1 - LK'!$L$261:$M$263,2,FALSE),0)</f>
        <v>0</v>
      </c>
      <c r="BG231" s="822">
        <f>IFERROR(VLOOKUP(Loomakasvatus!AL15,'M1 - LK'!$L$261:$M$263,2,FALSE),0)</f>
        <v>0</v>
      </c>
      <c r="BH231" s="822">
        <f>IFERROR(VLOOKUP(Loomakasvatus!AM15,'M1 - LK'!$L$261:$M$263,2,FALSE),0)</f>
        <v>0</v>
      </c>
      <c r="BI231" s="822">
        <f>IFERROR(VLOOKUP(Loomakasvatus!AN15,'M1 - LK'!$L$261:$M$263,2,FALSE),0)</f>
        <v>0</v>
      </c>
      <c r="BJ231" s="822">
        <f>IFERROR(VLOOKUP(Loomakasvatus!AO15,'M1 - LK'!$L$264:$M$266,2,FALSE),0)</f>
        <v>0</v>
      </c>
      <c r="BK231" s="822">
        <f>IFERROR(VLOOKUP(Loomakasvatus!AP15,'M1 - LK'!$L$264:$M$266,2,FALSE),0)</f>
        <v>0</v>
      </c>
      <c r="BL231" s="822">
        <f>IFERROR(VLOOKUP(Loomakasvatus!AQ15,'M1 - LK'!$L$264:$M$266,2,FALSE),0)</f>
        <v>0</v>
      </c>
      <c r="BM231" s="822">
        <f>IFERROR(VLOOKUP(Loomakasvatus!AR15,'M1 - LK'!$L$264:$M$266,2,FALSE),0)</f>
        <v>0</v>
      </c>
      <c r="BN231" s="822">
        <f>IFERROR(VLOOKUP(Loomakasvatus!AS15,'M1 - LK'!$L$264:$M$266,2,FALSE),0)</f>
        <v>0</v>
      </c>
      <c r="BO231" s="822">
        <f>IFERROR(VLOOKUP(Loomakasvatus!AT15,'M1 - LK'!$L$264:$M$266,2,FALSE),0)</f>
        <v>0</v>
      </c>
      <c r="BQ231" s="20">
        <f>Loomakasvatus!AI104</f>
        <v>0</v>
      </c>
      <c r="BR231">
        <f>Loomakasvatus!AJ104</f>
        <v>0</v>
      </c>
      <c r="BS231">
        <f>IFERROR(VLOOKUP(BQ231,EFid!$A$243:$D$250,2,FALSE),0)</f>
        <v>0</v>
      </c>
      <c r="BU231" s="11">
        <f t="shared" si="91"/>
        <v>0</v>
      </c>
      <c r="BV231" s="21"/>
    </row>
    <row r="232" spans="1:74">
      <c r="A232" s="347" t="s">
        <v>762</v>
      </c>
      <c r="B232" s="343" t="s">
        <v>763</v>
      </c>
      <c r="C232" s="8"/>
      <c r="D232" s="821" t="e">
        <f>D224</f>
        <v>#REF!</v>
      </c>
      <c r="F232" s="811">
        <f>F202</f>
        <v>1</v>
      </c>
      <c r="G232" s="811">
        <f t="shared" ref="G232:Q232" si="96">G202</f>
        <v>1</v>
      </c>
      <c r="H232" s="811">
        <f t="shared" si="96"/>
        <v>1</v>
      </c>
      <c r="I232" s="811">
        <f t="shared" si="96"/>
        <v>1</v>
      </c>
      <c r="J232" s="811">
        <f t="shared" si="96"/>
        <v>1</v>
      </c>
      <c r="K232" s="811">
        <f t="shared" si="96"/>
        <v>1</v>
      </c>
      <c r="L232" s="811">
        <f t="shared" si="96"/>
        <v>1</v>
      </c>
      <c r="M232" s="811">
        <f t="shared" si="96"/>
        <v>1</v>
      </c>
      <c r="N232" s="811">
        <f t="shared" si="96"/>
        <v>1</v>
      </c>
      <c r="O232" s="811">
        <f t="shared" si="96"/>
        <v>1</v>
      </c>
      <c r="P232" s="811">
        <f t="shared" si="96"/>
        <v>1</v>
      </c>
      <c r="Q232" s="811">
        <f t="shared" si="96"/>
        <v>1</v>
      </c>
      <c r="S232" s="20">
        <f>Loomakasvatus!C103</f>
        <v>0</v>
      </c>
      <c r="T232">
        <f>Loomakasvatus!D103</f>
        <v>0</v>
      </c>
      <c r="U232">
        <f>IFERROR(VLOOKUP(S232,EFid!$A$243:$D$250,2,FALSE),0)</f>
        <v>0</v>
      </c>
      <c r="W232" s="11">
        <f t="shared" si="92"/>
        <v>0</v>
      </c>
      <c r="X232" s="21"/>
      <c r="Z232" s="347" t="s">
        <v>762</v>
      </c>
      <c r="AA232" s="343" t="s">
        <v>763</v>
      </c>
      <c r="AB232" s="8"/>
      <c r="AC232" s="821" t="e">
        <f>AC224</f>
        <v>#REF!</v>
      </c>
      <c r="AE232" s="811">
        <f>AE202</f>
        <v>1</v>
      </c>
      <c r="AF232" s="811">
        <f t="shared" ref="AF232:AP232" si="97">AF202</f>
        <v>1</v>
      </c>
      <c r="AG232" s="811">
        <f t="shared" si="97"/>
        <v>1</v>
      </c>
      <c r="AH232" s="811">
        <f t="shared" si="97"/>
        <v>1</v>
      </c>
      <c r="AI232" s="811">
        <f t="shared" si="97"/>
        <v>1</v>
      </c>
      <c r="AJ232" s="811">
        <f t="shared" si="97"/>
        <v>1</v>
      </c>
      <c r="AK232" s="811">
        <f t="shared" si="97"/>
        <v>1</v>
      </c>
      <c r="AL232" s="811">
        <f t="shared" si="97"/>
        <v>1</v>
      </c>
      <c r="AM232" s="811">
        <f t="shared" si="97"/>
        <v>1</v>
      </c>
      <c r="AN232" s="811">
        <f t="shared" si="97"/>
        <v>1</v>
      </c>
      <c r="AO232" s="811">
        <f t="shared" si="97"/>
        <v>1</v>
      </c>
      <c r="AP232" s="811">
        <f t="shared" si="97"/>
        <v>1</v>
      </c>
      <c r="AR232" s="20">
        <f>Loomakasvatus!S105</f>
        <v>0</v>
      </c>
      <c r="AS232">
        <f>Loomakasvatus!T105</f>
        <v>0</v>
      </c>
      <c r="AT232">
        <f>IFERROR(VLOOKUP(AR232,EFid!$A$243:$D$250,2,FALSE),0)</f>
        <v>0</v>
      </c>
      <c r="AV232" s="11">
        <f t="shared" si="89"/>
        <v>0</v>
      </c>
      <c r="AW232" s="21"/>
      <c r="AY232" s="347" t="s">
        <v>762</v>
      </c>
      <c r="AZ232" s="343" t="s">
        <v>763</v>
      </c>
      <c r="BA232" s="8"/>
      <c r="BB232" s="821" t="e">
        <f>BB224</f>
        <v>#REF!</v>
      </c>
      <c r="BD232" s="811">
        <f>BD202</f>
        <v>1</v>
      </c>
      <c r="BE232" s="811">
        <f t="shared" ref="BE232:BO232" si="98">BE202</f>
        <v>1</v>
      </c>
      <c r="BF232" s="811">
        <f t="shared" si="98"/>
        <v>1</v>
      </c>
      <c r="BG232" s="811">
        <f t="shared" si="98"/>
        <v>1</v>
      </c>
      <c r="BH232" s="811">
        <f t="shared" si="98"/>
        <v>1</v>
      </c>
      <c r="BI232" s="811">
        <f t="shared" si="98"/>
        <v>1</v>
      </c>
      <c r="BJ232" s="811">
        <f t="shared" si="98"/>
        <v>1</v>
      </c>
      <c r="BK232" s="811">
        <f t="shared" si="98"/>
        <v>1</v>
      </c>
      <c r="BL232" s="811">
        <f t="shared" si="98"/>
        <v>1</v>
      </c>
      <c r="BM232" s="811">
        <f t="shared" si="98"/>
        <v>1</v>
      </c>
      <c r="BN232" s="811">
        <f t="shared" si="98"/>
        <v>1</v>
      </c>
      <c r="BO232" s="811">
        <f t="shared" si="98"/>
        <v>1</v>
      </c>
      <c r="BQ232" s="20">
        <f>Loomakasvatus!AI105</f>
        <v>0</v>
      </c>
      <c r="BR232">
        <f>Loomakasvatus!AJ105</f>
        <v>0</v>
      </c>
      <c r="BS232">
        <f>IFERROR(VLOOKUP(BQ232,EFid!$A$243:$D$250,2,FALSE),0)</f>
        <v>0</v>
      </c>
      <c r="BU232" s="11">
        <f t="shared" si="91"/>
        <v>0</v>
      </c>
      <c r="BV232" s="21"/>
    </row>
    <row r="233" spans="1:74" ht="15" thickBot="1">
      <c r="A233" s="193" t="s">
        <v>802</v>
      </c>
      <c r="B233" s="178"/>
      <c r="C233" s="178"/>
      <c r="D233" s="194"/>
      <c r="S233" s="20">
        <f>Loomakasvatus!C104</f>
        <v>0</v>
      </c>
      <c r="T233">
        <f>Loomakasvatus!D104</f>
        <v>0</v>
      </c>
      <c r="U233">
        <f>IFERROR(VLOOKUP(S233,EFid!$A$243:$D$250,2,FALSE),0)</f>
        <v>0</v>
      </c>
      <c r="W233" s="11">
        <f t="shared" si="92"/>
        <v>0</v>
      </c>
      <c r="X233" s="21"/>
      <c r="Z233" s="193" t="s">
        <v>802</v>
      </c>
      <c r="AA233" s="178"/>
      <c r="AB233" s="178"/>
      <c r="AC233" s="194"/>
      <c r="AR233" s="58">
        <f>Loomakasvatus!S106</f>
        <v>0</v>
      </c>
      <c r="AS233" s="36">
        <f>Loomakasvatus!T106</f>
        <v>0</v>
      </c>
      <c r="AT233" s="36">
        <f>IFERROR(VLOOKUP(AR233,EFid!$A$243:$D$250,2,FALSE),0)</f>
        <v>0</v>
      </c>
      <c r="AU233" s="36"/>
      <c r="AV233" s="1067">
        <f t="shared" si="89"/>
        <v>0</v>
      </c>
      <c r="AW233" s="37"/>
      <c r="AY233" s="193" t="s">
        <v>802</v>
      </c>
      <c r="AZ233" s="178"/>
      <c r="BA233" s="178"/>
      <c r="BB233" s="194"/>
      <c r="BQ233" s="58">
        <f>Loomakasvatus!AI106</f>
        <v>0</v>
      </c>
      <c r="BR233" s="36">
        <f>Loomakasvatus!AJ106</f>
        <v>0</v>
      </c>
      <c r="BS233" s="36">
        <f>IFERROR(VLOOKUP(BQ233,EFid!$A$243:$D$250,2,FALSE),0)</f>
        <v>0</v>
      </c>
      <c r="BT233" s="36"/>
      <c r="BU233" s="1067">
        <f t="shared" si="91"/>
        <v>0</v>
      </c>
      <c r="BV233" s="37"/>
    </row>
    <row r="234" spans="1:74" ht="15" thickBot="1">
      <c r="A234" s="188" t="s">
        <v>803</v>
      </c>
      <c r="B234" s="189"/>
      <c r="C234" s="189"/>
      <c r="D234" s="190"/>
      <c r="S234" s="20">
        <f>Loomakasvatus!C105</f>
        <v>0</v>
      </c>
      <c r="T234">
        <f>Loomakasvatus!D105</f>
        <v>0</v>
      </c>
      <c r="U234">
        <f>IFERROR(VLOOKUP(S234,EFid!$A$243:$D$250,2,FALSE),0)</f>
        <v>0</v>
      </c>
      <c r="W234" s="11">
        <f t="shared" si="92"/>
        <v>0</v>
      </c>
      <c r="X234" s="21"/>
      <c r="Z234" s="188" t="s">
        <v>803</v>
      </c>
      <c r="AA234" s="189"/>
      <c r="AB234" s="189"/>
      <c r="AC234" s="190"/>
      <c r="AY234" s="188" t="s">
        <v>803</v>
      </c>
      <c r="AZ234" s="189"/>
      <c r="BA234" s="189"/>
      <c r="BB234" s="190"/>
    </row>
    <row r="235" spans="1:74" ht="15" thickBot="1">
      <c r="A235" s="20" t="s">
        <v>804</v>
      </c>
      <c r="B235" t="s">
        <v>805</v>
      </c>
      <c r="D235" s="42">
        <f>SUM(F235:Q235)</f>
        <v>0</v>
      </c>
      <c r="E235" t="s">
        <v>772</v>
      </c>
      <c r="F235" s="42">
        <f>F236*F237*F238/100</f>
        <v>0</v>
      </c>
      <c r="G235" s="42">
        <f t="shared" ref="G235:Q235" si="99">G236*G237*G238/100</f>
        <v>0</v>
      </c>
      <c r="H235" s="42">
        <f t="shared" si="99"/>
        <v>0</v>
      </c>
      <c r="I235" s="42">
        <f t="shared" si="99"/>
        <v>0</v>
      </c>
      <c r="J235" s="42">
        <f t="shared" si="99"/>
        <v>0</v>
      </c>
      <c r="K235" s="42">
        <f t="shared" si="99"/>
        <v>0</v>
      </c>
      <c r="L235" s="42">
        <f t="shared" si="99"/>
        <v>0</v>
      </c>
      <c r="M235" s="42">
        <f t="shared" si="99"/>
        <v>0</v>
      </c>
      <c r="N235" s="42">
        <f t="shared" si="99"/>
        <v>0</v>
      </c>
      <c r="O235" s="42">
        <f t="shared" si="99"/>
        <v>0</v>
      </c>
      <c r="P235" s="42">
        <f t="shared" si="99"/>
        <v>0</v>
      </c>
      <c r="Q235" s="42">
        <f t="shared" si="99"/>
        <v>0</v>
      </c>
      <c r="S235" s="58">
        <f>Loomakasvatus!C106</f>
        <v>0</v>
      </c>
      <c r="T235" s="36">
        <f>Loomakasvatus!D106</f>
        <v>0</v>
      </c>
      <c r="U235" s="36">
        <f>IFERROR(VLOOKUP(S235,EFid!$A$243:$D$250,2,FALSE),0)</f>
        <v>0</v>
      </c>
      <c r="V235" s="36"/>
      <c r="W235" s="1067">
        <f t="shared" si="92"/>
        <v>0</v>
      </c>
      <c r="X235" s="37"/>
      <c r="Z235" s="20" t="s">
        <v>804</v>
      </c>
      <c r="AA235" t="s">
        <v>805</v>
      </c>
      <c r="AC235" s="42">
        <f>SUM(AE235:AP235)</f>
        <v>0</v>
      </c>
      <c r="AD235" t="s">
        <v>772</v>
      </c>
      <c r="AE235" s="42">
        <f>AE236*AE237*AE238/100</f>
        <v>0</v>
      </c>
      <c r="AF235" s="42">
        <f t="shared" ref="AF235:AP235" si="100">AF236*AF237*AF238/100</f>
        <v>0</v>
      </c>
      <c r="AG235" s="42">
        <f t="shared" si="100"/>
        <v>0</v>
      </c>
      <c r="AH235" s="42">
        <f t="shared" si="100"/>
        <v>0</v>
      </c>
      <c r="AI235" s="42">
        <f t="shared" si="100"/>
        <v>0</v>
      </c>
      <c r="AJ235" s="42">
        <f t="shared" si="100"/>
        <v>0</v>
      </c>
      <c r="AK235" s="42">
        <f t="shared" si="100"/>
        <v>0</v>
      </c>
      <c r="AL235" s="42">
        <f t="shared" si="100"/>
        <v>0</v>
      </c>
      <c r="AM235" s="42">
        <f t="shared" si="100"/>
        <v>0</v>
      </c>
      <c r="AN235" s="42">
        <f t="shared" si="100"/>
        <v>0</v>
      </c>
      <c r="AO235" s="42">
        <f t="shared" si="100"/>
        <v>0</v>
      </c>
      <c r="AP235" s="42">
        <f t="shared" si="100"/>
        <v>0</v>
      </c>
      <c r="AR235" s="90" t="s">
        <v>444</v>
      </c>
      <c r="AS235" s="16"/>
      <c r="AT235" s="16"/>
      <c r="AU235" s="16"/>
      <c r="AV235" s="16"/>
      <c r="AW235" s="17"/>
      <c r="AY235" s="20" t="s">
        <v>804</v>
      </c>
      <c r="AZ235" t="s">
        <v>805</v>
      </c>
      <c r="BB235" s="42">
        <f>SUM(BD235:BO235)</f>
        <v>0</v>
      </c>
      <c r="BC235" t="s">
        <v>772</v>
      </c>
      <c r="BD235" s="42">
        <f>BD236*BD237*BD238/100</f>
        <v>0</v>
      </c>
      <c r="BE235" s="42">
        <f t="shared" ref="BE235:BO235" si="101">BE236*BE237*BE238/100</f>
        <v>0</v>
      </c>
      <c r="BF235" s="42">
        <f t="shared" si="101"/>
        <v>0</v>
      </c>
      <c r="BG235" s="42">
        <f t="shared" si="101"/>
        <v>0</v>
      </c>
      <c r="BH235" s="42">
        <f t="shared" si="101"/>
        <v>0</v>
      </c>
      <c r="BI235" s="42">
        <f t="shared" si="101"/>
        <v>0</v>
      </c>
      <c r="BJ235" s="42">
        <f t="shared" si="101"/>
        <v>0</v>
      </c>
      <c r="BK235" s="42">
        <f t="shared" si="101"/>
        <v>0</v>
      </c>
      <c r="BL235" s="42">
        <f t="shared" si="101"/>
        <v>0</v>
      </c>
      <c r="BM235" s="42">
        <f t="shared" si="101"/>
        <v>0</v>
      </c>
      <c r="BN235" s="42">
        <f t="shared" si="101"/>
        <v>0</v>
      </c>
      <c r="BO235" s="42">
        <f t="shared" si="101"/>
        <v>0</v>
      </c>
      <c r="BQ235" s="90" t="s">
        <v>444</v>
      </c>
      <c r="BR235" s="16"/>
      <c r="BS235" s="16"/>
      <c r="BT235" s="16"/>
      <c r="BU235" s="16"/>
      <c r="BV235" s="17"/>
    </row>
    <row r="236" spans="1:74" ht="15" thickBot="1">
      <c r="A236" s="115" t="s">
        <v>742</v>
      </c>
      <c r="B236" s="31" t="s">
        <v>743</v>
      </c>
      <c r="D236" s="821" t="e">
        <f>D193</f>
        <v>#REF!</v>
      </c>
      <c r="E236" t="s">
        <v>135</v>
      </c>
      <c r="F236" s="811">
        <f>F193</f>
        <v>0</v>
      </c>
      <c r="G236" s="811">
        <f t="shared" ref="G236:Q236" si="102">G193</f>
        <v>0</v>
      </c>
      <c r="H236" s="811">
        <f t="shared" si="102"/>
        <v>0</v>
      </c>
      <c r="I236" s="811">
        <f t="shared" si="102"/>
        <v>0</v>
      </c>
      <c r="J236" s="811">
        <f t="shared" si="102"/>
        <v>0</v>
      </c>
      <c r="K236" s="811">
        <f t="shared" si="102"/>
        <v>0</v>
      </c>
      <c r="L236" s="811">
        <f t="shared" si="102"/>
        <v>0</v>
      </c>
      <c r="M236" s="811">
        <f t="shared" si="102"/>
        <v>0</v>
      </c>
      <c r="N236" s="811">
        <f t="shared" si="102"/>
        <v>0</v>
      </c>
      <c r="O236" s="811">
        <f t="shared" si="102"/>
        <v>0</v>
      </c>
      <c r="P236" s="811">
        <f t="shared" si="102"/>
        <v>0</v>
      </c>
      <c r="Q236" s="811">
        <f t="shared" si="102"/>
        <v>0</v>
      </c>
      <c r="Z236" s="115" t="s">
        <v>742</v>
      </c>
      <c r="AA236" s="31" t="s">
        <v>743</v>
      </c>
      <c r="AC236" s="821" t="e">
        <f>AC193</f>
        <v>#REF!</v>
      </c>
      <c r="AD236" t="s">
        <v>135</v>
      </c>
      <c r="AE236" s="811">
        <f>AE193</f>
        <v>0</v>
      </c>
      <c r="AF236" s="811">
        <f t="shared" ref="AF236:AP236" si="103">AF193</f>
        <v>0</v>
      </c>
      <c r="AG236" s="811">
        <f t="shared" si="103"/>
        <v>0</v>
      </c>
      <c r="AH236" s="811">
        <f t="shared" si="103"/>
        <v>0</v>
      </c>
      <c r="AI236" s="811">
        <f t="shared" si="103"/>
        <v>0</v>
      </c>
      <c r="AJ236" s="811">
        <f t="shared" si="103"/>
        <v>0</v>
      </c>
      <c r="AK236" s="811">
        <f t="shared" si="103"/>
        <v>0</v>
      </c>
      <c r="AL236" s="811">
        <f t="shared" si="103"/>
        <v>0</v>
      </c>
      <c r="AM236" s="811">
        <f t="shared" si="103"/>
        <v>0</v>
      </c>
      <c r="AN236" s="811">
        <f t="shared" si="103"/>
        <v>0</v>
      </c>
      <c r="AO236" s="811">
        <f t="shared" si="103"/>
        <v>0</v>
      </c>
      <c r="AP236" s="811">
        <f t="shared" si="103"/>
        <v>0</v>
      </c>
      <c r="AR236" s="1068" t="s">
        <v>739</v>
      </c>
      <c r="AW236" s="445">
        <f>SUM(AV237,AV242,AV247)</f>
        <v>0</v>
      </c>
      <c r="AY236" s="115" t="s">
        <v>742</v>
      </c>
      <c r="AZ236" s="31" t="s">
        <v>743</v>
      </c>
      <c r="BB236" s="821" t="e">
        <f>BB193</f>
        <v>#REF!</v>
      </c>
      <c r="BC236" t="s">
        <v>135</v>
      </c>
      <c r="BD236" s="811">
        <f>BD193</f>
        <v>0</v>
      </c>
      <c r="BE236" s="811">
        <f t="shared" ref="BE236:BO236" si="104">BE193</f>
        <v>0</v>
      </c>
      <c r="BF236" s="811">
        <f t="shared" si="104"/>
        <v>0</v>
      </c>
      <c r="BG236" s="811">
        <f t="shared" si="104"/>
        <v>0</v>
      </c>
      <c r="BH236" s="811">
        <f t="shared" si="104"/>
        <v>0</v>
      </c>
      <c r="BI236" s="811">
        <f t="shared" si="104"/>
        <v>0</v>
      </c>
      <c r="BJ236" s="811">
        <f t="shared" si="104"/>
        <v>0</v>
      </c>
      <c r="BK236" s="811">
        <f t="shared" si="104"/>
        <v>0</v>
      </c>
      <c r="BL236" s="811">
        <f t="shared" si="104"/>
        <v>0</v>
      </c>
      <c r="BM236" s="811">
        <f t="shared" si="104"/>
        <v>0</v>
      </c>
      <c r="BN236" s="811">
        <f t="shared" si="104"/>
        <v>0</v>
      </c>
      <c r="BO236" s="811">
        <f t="shared" si="104"/>
        <v>0</v>
      </c>
      <c r="BQ236" s="1068" t="s">
        <v>739</v>
      </c>
      <c r="BV236" s="445">
        <f>SUM(BU237,BU242,BU247)</f>
        <v>0</v>
      </c>
    </row>
    <row r="237" spans="1:74">
      <c r="A237" s="344" t="s">
        <v>762</v>
      </c>
      <c r="B237" s="31" t="s">
        <v>763</v>
      </c>
      <c r="D237" s="821" t="e">
        <f>D232</f>
        <v>#REF!</v>
      </c>
      <c r="F237" s="811">
        <f>F202</f>
        <v>1</v>
      </c>
      <c r="G237" s="811">
        <f t="shared" ref="G237:Q237" si="105">G202</f>
        <v>1</v>
      </c>
      <c r="H237" s="811">
        <f t="shared" si="105"/>
        <v>1</v>
      </c>
      <c r="I237" s="811">
        <f t="shared" si="105"/>
        <v>1</v>
      </c>
      <c r="J237" s="811">
        <f t="shared" si="105"/>
        <v>1</v>
      </c>
      <c r="K237" s="811">
        <f t="shared" si="105"/>
        <v>1</v>
      </c>
      <c r="L237" s="811">
        <f t="shared" si="105"/>
        <v>1</v>
      </c>
      <c r="M237" s="811">
        <f t="shared" si="105"/>
        <v>1</v>
      </c>
      <c r="N237" s="811">
        <f t="shared" si="105"/>
        <v>1</v>
      </c>
      <c r="O237" s="811">
        <f t="shared" si="105"/>
        <v>1</v>
      </c>
      <c r="P237" s="811">
        <f t="shared" si="105"/>
        <v>1</v>
      </c>
      <c r="Q237" s="811">
        <f t="shared" si="105"/>
        <v>1</v>
      </c>
      <c r="S237" s="90" t="s">
        <v>444</v>
      </c>
      <c r="T237" s="16"/>
      <c r="U237" s="16"/>
      <c r="V237" s="16"/>
      <c r="W237" s="16"/>
      <c r="X237" s="17"/>
      <c r="Z237" s="344" t="s">
        <v>762</v>
      </c>
      <c r="AA237" s="31" t="s">
        <v>763</v>
      </c>
      <c r="AC237" s="821" t="e">
        <f>AC232</f>
        <v>#REF!</v>
      </c>
      <c r="AE237" s="811">
        <f>AE202</f>
        <v>1</v>
      </c>
      <c r="AF237" s="811">
        <f t="shared" ref="AF237:AP237" si="106">AF202</f>
        <v>1</v>
      </c>
      <c r="AG237" s="811">
        <f t="shared" si="106"/>
        <v>1</v>
      </c>
      <c r="AH237" s="811">
        <f t="shared" si="106"/>
        <v>1</v>
      </c>
      <c r="AI237" s="811">
        <f t="shared" si="106"/>
        <v>1</v>
      </c>
      <c r="AJ237" s="811">
        <f t="shared" si="106"/>
        <v>1</v>
      </c>
      <c r="AK237" s="811">
        <f t="shared" si="106"/>
        <v>1</v>
      </c>
      <c r="AL237" s="811">
        <f t="shared" si="106"/>
        <v>1</v>
      </c>
      <c r="AM237" s="811">
        <f t="shared" si="106"/>
        <v>1</v>
      </c>
      <c r="AN237" s="811">
        <f t="shared" si="106"/>
        <v>1</v>
      </c>
      <c r="AO237" s="811">
        <f t="shared" si="106"/>
        <v>1</v>
      </c>
      <c r="AP237" s="811">
        <f t="shared" si="106"/>
        <v>1</v>
      </c>
      <c r="AR237" s="20">
        <f t="shared" ref="AR237:AS239" si="107">AS173</f>
        <v>0</v>
      </c>
      <c r="AS237">
        <f t="shared" si="107"/>
        <v>0</v>
      </c>
      <c r="AT237" t="str">
        <f>IFERROR(VLOOKUP(AR237,EFid!$A$101:$B$124,2,FALSE),"0")</f>
        <v>0</v>
      </c>
      <c r="AU237">
        <f>AS237*AT237</f>
        <v>0</v>
      </c>
      <c r="AV237" s="444">
        <f>SUM(AU237:AU239)</f>
        <v>0</v>
      </c>
      <c r="AW237" s="21"/>
      <c r="AY237" s="344" t="s">
        <v>762</v>
      </c>
      <c r="AZ237" s="31" t="s">
        <v>763</v>
      </c>
      <c r="BB237" s="821" t="e">
        <f>BB232</f>
        <v>#REF!</v>
      </c>
      <c r="BD237" s="811">
        <f>BD202</f>
        <v>1</v>
      </c>
      <c r="BE237" s="811">
        <f t="shared" ref="BE237:BO237" si="108">BE202</f>
        <v>1</v>
      </c>
      <c r="BF237" s="811">
        <f t="shared" si="108"/>
        <v>1</v>
      </c>
      <c r="BG237" s="811">
        <f t="shared" si="108"/>
        <v>1</v>
      </c>
      <c r="BH237" s="811">
        <f t="shared" si="108"/>
        <v>1</v>
      </c>
      <c r="BI237" s="811">
        <f t="shared" si="108"/>
        <v>1</v>
      </c>
      <c r="BJ237" s="811">
        <f t="shared" si="108"/>
        <v>1</v>
      </c>
      <c r="BK237" s="811">
        <f t="shared" si="108"/>
        <v>1</v>
      </c>
      <c r="BL237" s="811">
        <f t="shared" si="108"/>
        <v>1</v>
      </c>
      <c r="BM237" s="811">
        <f t="shared" si="108"/>
        <v>1</v>
      </c>
      <c r="BN237" s="811">
        <f t="shared" si="108"/>
        <v>1</v>
      </c>
      <c r="BO237" s="811">
        <f t="shared" si="108"/>
        <v>1</v>
      </c>
      <c r="BQ237" s="20">
        <f t="shared" ref="BQ237:BR239" si="109">BR173</f>
        <v>0</v>
      </c>
      <c r="BR237">
        <f t="shared" si="109"/>
        <v>0</v>
      </c>
      <c r="BS237" t="str">
        <f>IFERROR(VLOOKUP(BQ237,EFid!$A$101:$B$124,2,FALSE),"0")</f>
        <v>0</v>
      </c>
      <c r="BT237">
        <f>BR237*BS237</f>
        <v>0</v>
      </c>
      <c r="BU237" s="444">
        <f>SUM(BT237:BT239)</f>
        <v>0</v>
      </c>
      <c r="BV237" s="21"/>
    </row>
    <row r="238" spans="1:74" ht="15" thickBot="1">
      <c r="A238" s="346" t="s">
        <v>792</v>
      </c>
      <c r="B238" s="345" t="s">
        <v>809</v>
      </c>
      <c r="C238" s="36"/>
      <c r="D238" s="823" t="e">
        <f>(VLOOKUP(Loomakasvatus!#REF!,'M1 - LK'!J195:K196,2,FALSE))+VLOOKUP(Loomakasvatus!#REF!,'M1 - LK'!J195:K196,2,FALSE)+VLOOKUP(Loomakasvatus!#REF!,'M1 - LK'!J195:K196,2,FALSE)</f>
        <v>#REF!</v>
      </c>
      <c r="E238" t="s">
        <v>34</v>
      </c>
      <c r="F238" s="811">
        <f>IFERROR(VLOOKUP(Loomakasvatus!C15,'M1 - LK'!$K$275:$L$277,2,FALSE),0)</f>
        <v>0</v>
      </c>
      <c r="G238" s="811">
        <f>IFERROR(VLOOKUP(Loomakasvatus!D15,'M1 - LK'!$K$275:$L$277,2,FALSE),0)</f>
        <v>0</v>
      </c>
      <c r="H238" s="811">
        <f>IFERROR(VLOOKUP(Loomakasvatus!E15,'M1 - LK'!$K$275:$L$277,2,FALSE),0)</f>
        <v>0</v>
      </c>
      <c r="I238" s="811">
        <f>IFERROR(VLOOKUP(Loomakasvatus!F15,'M1 - LK'!$K$275:$L$277,2,FALSE),0)</f>
        <v>0</v>
      </c>
      <c r="J238" s="811">
        <f>IFERROR(VLOOKUP(Loomakasvatus!G15,'M1 - LK'!$K$275:$L$277,2,FALSE),0)</f>
        <v>0</v>
      </c>
      <c r="K238" s="811">
        <f>IFERROR(VLOOKUP(Loomakasvatus!H15,'M1 - LK'!$K$275:$L$277,2,FALSE),0)</f>
        <v>0</v>
      </c>
      <c r="L238" s="811">
        <f>IFERROR(VLOOKUP(Loomakasvatus!I15,'M1 - LK'!$K$275:$L$277,2,FALSE),0)</f>
        <v>0</v>
      </c>
      <c r="M238" s="811">
        <f>IFERROR(VLOOKUP(Loomakasvatus!J15,'M1 - LK'!$K$275:$L$277,2,FALSE),0)</f>
        <v>0</v>
      </c>
      <c r="N238" s="811">
        <f>IFERROR(VLOOKUP(Loomakasvatus!K15,'M1 - LK'!$K$275:$L$277,2,FALSE),0)</f>
        <v>0</v>
      </c>
      <c r="O238" s="811">
        <f>IFERROR(VLOOKUP(Loomakasvatus!L15,'M1 - LK'!$K$275:$L$277,2,FALSE),0)</f>
        <v>0</v>
      </c>
      <c r="P238" s="811">
        <f>IFERROR(VLOOKUP(Loomakasvatus!M15,'M1 - LK'!$K$275:$L$277,2,FALSE),0)</f>
        <v>0</v>
      </c>
      <c r="Q238" s="811">
        <f>IFERROR(VLOOKUP(Loomakasvatus!N15,'M1 - LK'!$K$275:$L$277,2,FALSE),0)</f>
        <v>0</v>
      </c>
      <c r="S238" s="1068" t="s">
        <v>739</v>
      </c>
      <c r="X238" s="445">
        <f>SUM(W239,W244,W249)</f>
        <v>0</v>
      </c>
      <c r="Z238" s="346" t="s">
        <v>792</v>
      </c>
      <c r="AA238" s="345" t="s">
        <v>809</v>
      </c>
      <c r="AB238" s="36"/>
      <c r="AC238" s="823" t="e">
        <f>(VLOOKUP(Loomakasvatus!#REF!,'M1 - LK'!AI195:AJ196,2,FALSE))+VLOOKUP(Loomakasvatus!#REF!,'M1 - LK'!AI195:AJ196,2,FALSE)+VLOOKUP(Loomakasvatus!#REF!,'M1 - LK'!AI195:AJ196,2,FALSE)</f>
        <v>#REF!</v>
      </c>
      <c r="AD238" t="s">
        <v>34</v>
      </c>
      <c r="AE238" s="811">
        <f>IFERROR(VLOOKUP(Loomakasvatus!S15,'M1 - LK'!$K$275:$L$277,2,FALSE),0)</f>
        <v>0</v>
      </c>
      <c r="AF238" s="811">
        <f>IFERROR(VLOOKUP(Loomakasvatus!T15,'M1 - LK'!$K$275:$L$277,2,FALSE),0)</f>
        <v>0</v>
      </c>
      <c r="AG238" s="811">
        <f>IFERROR(VLOOKUP(Loomakasvatus!U15,'M1 - LK'!$K$275:$L$277,2,FALSE),0)</f>
        <v>0</v>
      </c>
      <c r="AH238" s="811">
        <f>IFERROR(VLOOKUP(Loomakasvatus!V15,'M1 - LK'!$K$275:$L$277,2,FALSE),0)</f>
        <v>0</v>
      </c>
      <c r="AI238" s="811">
        <f>IFERROR(VLOOKUP(Loomakasvatus!W15,'M1 - LK'!$K$275:$L$277,2,FALSE),0)</f>
        <v>0</v>
      </c>
      <c r="AJ238" s="811">
        <f>IFERROR(VLOOKUP(Loomakasvatus!X15,'M1 - LK'!$K$275:$L$277,2,FALSE),0)</f>
        <v>0</v>
      </c>
      <c r="AK238" s="811">
        <f>IFERROR(VLOOKUP(Loomakasvatus!Y15,'M1 - LK'!$K$275:$L$277,2,FALSE),0)</f>
        <v>0</v>
      </c>
      <c r="AL238" s="811">
        <f>IFERROR(VLOOKUP(Loomakasvatus!Z15,'M1 - LK'!$K$275:$L$277,2,FALSE),0)</f>
        <v>0</v>
      </c>
      <c r="AM238" s="811">
        <f>IFERROR(VLOOKUP(Loomakasvatus!AA15,'M1 - LK'!$K$275:$L$277,2,FALSE),0)</f>
        <v>0</v>
      </c>
      <c r="AN238" s="811">
        <f>IFERROR(VLOOKUP(Loomakasvatus!AB15,'M1 - LK'!$K$275:$L$277,2,FALSE),0)</f>
        <v>0</v>
      </c>
      <c r="AO238" s="811">
        <f>IFERROR(VLOOKUP(Loomakasvatus!AC15,'M1 - LK'!$K$275:$L$277,2,FALSE),0)</f>
        <v>0</v>
      </c>
      <c r="AP238" s="811">
        <f>IFERROR(VLOOKUP(Loomakasvatus!AD15,'M1 - LK'!$K$275:$L$277,2,FALSE),0)</f>
        <v>0</v>
      </c>
      <c r="AR238" s="20">
        <f t="shared" si="107"/>
        <v>0</v>
      </c>
      <c r="AS238">
        <f t="shared" si="107"/>
        <v>0</v>
      </c>
      <c r="AT238" t="str">
        <f>IFERROR(VLOOKUP(AR238,EFid!$A$101:$B$124,2,FALSE),"0")</f>
        <v>0</v>
      </c>
      <c r="AU238">
        <f t="shared" ref="AU238:AU239" si="110">AS238*AT238</f>
        <v>0</v>
      </c>
      <c r="AW238" s="21"/>
      <c r="AY238" s="346" t="s">
        <v>792</v>
      </c>
      <c r="AZ238" s="345" t="s">
        <v>809</v>
      </c>
      <c r="BA238" s="36"/>
      <c r="BB238" s="823" t="e">
        <f>(VLOOKUP(Loomakasvatus!#REF!,'M1 - LK'!BH195:BI196,2,FALSE))+VLOOKUP(Loomakasvatus!#REF!,'M1 - LK'!BH195:BI196,2,FALSE)+VLOOKUP(Loomakasvatus!#REF!,'M1 - LK'!BH195:BI196,2,FALSE)</f>
        <v>#REF!</v>
      </c>
      <c r="BC238" t="s">
        <v>34</v>
      </c>
      <c r="BD238" s="811">
        <f>IFERROR(VLOOKUP(Loomakasvatus!AI15,'M1 - LK'!$K$275:$L$277,2,FALSE),0)</f>
        <v>0</v>
      </c>
      <c r="BE238" s="811">
        <f>IFERROR(VLOOKUP(Loomakasvatus!AJ15,'M1 - LK'!$K$275:$L$277,2,FALSE),0)</f>
        <v>0</v>
      </c>
      <c r="BF238" s="811">
        <f>IFERROR(VLOOKUP(Loomakasvatus!AK15,'M1 - LK'!$K$275:$L$277,2,FALSE),0)</f>
        <v>0</v>
      </c>
      <c r="BG238" s="811">
        <f>IFERROR(VLOOKUP(Loomakasvatus!AL15,'M1 - LK'!$K$275:$L$277,2,FALSE),0)</f>
        <v>0</v>
      </c>
      <c r="BH238" s="811">
        <f>IFERROR(VLOOKUP(Loomakasvatus!AM15,'M1 - LK'!$K$275:$L$277,2,FALSE),0)</f>
        <v>0</v>
      </c>
      <c r="BI238" s="811">
        <f>IFERROR(VLOOKUP(Loomakasvatus!AN15,'M1 - LK'!$K$275:$L$277,2,FALSE),0)</f>
        <v>0</v>
      </c>
      <c r="BJ238" s="811">
        <f>IFERROR(VLOOKUP(Loomakasvatus!AO15,'M1 - LK'!$K$275:$L$277,2,FALSE),0)</f>
        <v>0</v>
      </c>
      <c r="BK238" s="811">
        <f>IFERROR(VLOOKUP(Loomakasvatus!AP15,'M1 - LK'!$K$275:$L$277,2,FALSE),0)</f>
        <v>0</v>
      </c>
      <c r="BL238" s="811">
        <f>IFERROR(VLOOKUP(Loomakasvatus!AQ15,'M1 - LK'!$K$275:$L$277,2,FALSE),0)</f>
        <v>0</v>
      </c>
      <c r="BM238" s="811">
        <f>IFERROR(VLOOKUP(Loomakasvatus!AR15,'M1 - LK'!$K$275:$L$277,2,FALSE),0)</f>
        <v>0</v>
      </c>
      <c r="BN238" s="811">
        <f>IFERROR(VLOOKUP(Loomakasvatus!AS15,'M1 - LK'!$K$275:$L$277,2,FALSE),0)</f>
        <v>0</v>
      </c>
      <c r="BO238" s="811">
        <f>IFERROR(VLOOKUP(Loomakasvatus!AT15,'M1 - LK'!$K$275:$L$277,2,FALSE),0)</f>
        <v>0</v>
      </c>
      <c r="BQ238" s="20">
        <f t="shared" si="109"/>
        <v>0</v>
      </c>
      <c r="BR238">
        <f t="shared" si="109"/>
        <v>0</v>
      </c>
      <c r="BS238" t="str">
        <f>IFERROR(VLOOKUP(BQ238,EFid!$A$101:$B$124,2,FALSE),"0")</f>
        <v>0</v>
      </c>
      <c r="BT238">
        <f t="shared" ref="BT238:BT239" si="111">BR238*BS238</f>
        <v>0</v>
      </c>
      <c r="BV238" s="21"/>
    </row>
    <row r="239" spans="1:74">
      <c r="A239" s="1343" t="s">
        <v>811</v>
      </c>
      <c r="B239" s="1343"/>
      <c r="C239" s="1343"/>
      <c r="D239" s="1343"/>
      <c r="S239" s="20">
        <f t="shared" ref="S239:T241" si="112">T173</f>
        <v>0</v>
      </c>
      <c r="T239">
        <f t="shared" si="112"/>
        <v>0</v>
      </c>
      <c r="U239" t="str">
        <f>IFERROR(VLOOKUP(S239,EFid!$A$101:$B$124,2,FALSE),"0")</f>
        <v>0</v>
      </c>
      <c r="V239">
        <f>T239*U239</f>
        <v>0</v>
      </c>
      <c r="W239" s="444">
        <f>SUM(V239:V241)</f>
        <v>0</v>
      </c>
      <c r="X239" s="21"/>
      <c r="Z239" s="1343" t="s">
        <v>811</v>
      </c>
      <c r="AA239" s="1343"/>
      <c r="AB239" s="1343"/>
      <c r="AC239" s="1343"/>
      <c r="AR239" s="20">
        <f t="shared" si="107"/>
        <v>0</v>
      </c>
      <c r="AS239">
        <f t="shared" si="107"/>
        <v>0</v>
      </c>
      <c r="AT239" t="str">
        <f>IFERROR(VLOOKUP(AR239,EFid!$A$101:$B$124,2,FALSE),"0")</f>
        <v>0</v>
      </c>
      <c r="AU239">
        <f t="shared" si="110"/>
        <v>0</v>
      </c>
      <c r="AW239" s="21"/>
      <c r="AY239" s="1343" t="s">
        <v>811</v>
      </c>
      <c r="AZ239" s="1343"/>
      <c r="BA239" s="1343"/>
      <c r="BB239" s="1343"/>
      <c r="BQ239" s="20">
        <f t="shared" si="109"/>
        <v>0</v>
      </c>
      <c r="BR239">
        <f t="shared" si="109"/>
        <v>0</v>
      </c>
      <c r="BS239" t="str">
        <f>IFERROR(VLOOKUP(BQ239,EFid!$A$101:$B$124,2,FALSE),"0")</f>
        <v>0</v>
      </c>
      <c r="BT239">
        <f t="shared" si="111"/>
        <v>0</v>
      </c>
      <c r="BV239" s="21"/>
    </row>
    <row r="240" spans="1:74" ht="15" thickBot="1">
      <c r="A240" s="32" t="s">
        <v>813</v>
      </c>
      <c r="B240" s="203"/>
      <c r="C240" s="203"/>
      <c r="D240" s="816"/>
      <c r="S240" s="20">
        <f t="shared" si="112"/>
        <v>0</v>
      </c>
      <c r="T240">
        <f t="shared" si="112"/>
        <v>0</v>
      </c>
      <c r="U240" t="str">
        <f>IFERROR(VLOOKUP(S240,EFid!$A$101:$B$124,2,FALSE),"0")</f>
        <v>0</v>
      </c>
      <c r="V240">
        <f t="shared" ref="V240:V241" si="113">T240*U240</f>
        <v>0</v>
      </c>
      <c r="X240" s="21"/>
      <c r="Z240" s="32" t="s">
        <v>813</v>
      </c>
      <c r="AA240" s="203"/>
      <c r="AB240" s="203"/>
      <c r="AC240" s="816"/>
      <c r="AR240" s="20"/>
      <c r="AW240" s="21"/>
      <c r="AY240" s="32" t="s">
        <v>813</v>
      </c>
      <c r="AZ240" s="203"/>
      <c r="BA240" s="203"/>
      <c r="BB240" s="816"/>
      <c r="BQ240" s="20"/>
      <c r="BV240" s="21"/>
    </row>
    <row r="241" spans="1:74">
      <c r="A241" s="1344" t="s">
        <v>814</v>
      </c>
      <c r="B241" s="1344"/>
      <c r="C241" s="1344"/>
      <c r="D241" s="1344"/>
      <c r="S241" s="20">
        <f t="shared" si="112"/>
        <v>0</v>
      </c>
      <c r="T241">
        <f t="shared" si="112"/>
        <v>0</v>
      </c>
      <c r="U241" t="str">
        <f>IFERROR(VLOOKUP(S241,EFid!$A$101:$B$124,2,FALSE),"0")</f>
        <v>0</v>
      </c>
      <c r="V241">
        <f t="shared" si="113"/>
        <v>0</v>
      </c>
      <c r="X241" s="21"/>
      <c r="Z241" s="1344" t="s">
        <v>814</v>
      </c>
      <c r="AA241" s="1344"/>
      <c r="AB241" s="1344"/>
      <c r="AC241" s="1344"/>
      <c r="AR241" s="1068" t="s">
        <v>455</v>
      </c>
      <c r="AW241" s="21"/>
      <c r="AY241" s="1344" t="s">
        <v>814</v>
      </c>
      <c r="AZ241" s="1344"/>
      <c r="BA241" s="1344"/>
      <c r="BB241" s="1344"/>
      <c r="BQ241" s="1068" t="s">
        <v>455</v>
      </c>
      <c r="BV241" s="21"/>
    </row>
    <row r="242" spans="1:74">
      <c r="A242" s="193" t="s">
        <v>816</v>
      </c>
      <c r="B242" s="178"/>
      <c r="C242" s="178"/>
      <c r="D242" s="194"/>
      <c r="S242" s="20"/>
      <c r="X242" s="21"/>
      <c r="Z242" s="193" t="s">
        <v>816</v>
      </c>
      <c r="AA242" s="178"/>
      <c r="AB242" s="178"/>
      <c r="AC242" s="194"/>
      <c r="AR242" s="20">
        <f t="shared" ref="AR242:AS244" si="114">AS176</f>
        <v>0</v>
      </c>
      <c r="AS242">
        <f t="shared" si="114"/>
        <v>0</v>
      </c>
      <c r="AT242" t="str">
        <f>IFERROR(VLOOKUP(AR242,EFid!$A$77:$B$94,2,FALSE),"0")</f>
        <v>0</v>
      </c>
      <c r="AU242">
        <f>AS242*AT242</f>
        <v>0</v>
      </c>
      <c r="AV242" s="444">
        <f>SUM(AU242:AU244)</f>
        <v>0</v>
      </c>
      <c r="AW242" s="21"/>
      <c r="AY242" s="193" t="s">
        <v>816</v>
      </c>
      <c r="AZ242" s="178"/>
      <c r="BA242" s="178"/>
      <c r="BB242" s="194"/>
      <c r="BQ242" s="20">
        <f t="shared" ref="BQ242:BR244" si="115">BR176</f>
        <v>0</v>
      </c>
      <c r="BR242">
        <f t="shared" si="115"/>
        <v>0</v>
      </c>
      <c r="BS242" t="str">
        <f>IFERROR(VLOOKUP(BQ242,EFid!$A$77:$B$94,2,FALSE),"0")</f>
        <v>0</v>
      </c>
      <c r="BT242">
        <f>BR242*BS242</f>
        <v>0</v>
      </c>
      <c r="BU242" s="444">
        <f>SUM(BT242:BT244)</f>
        <v>0</v>
      </c>
      <c r="BV242" s="21"/>
    </row>
    <row r="243" spans="1:74">
      <c r="A243" s="115" t="s">
        <v>818</v>
      </c>
      <c r="B243" s="31"/>
      <c r="D243" s="42">
        <f>SUM(F243:Q243)</f>
        <v>0</v>
      </c>
      <c r="F243" s="42">
        <f>F244*(14/17)*0.01*(44/28)</f>
        <v>0</v>
      </c>
      <c r="G243" s="42">
        <f t="shared" ref="G243:Q243" si="116">G244*(14/17)*0.01*(44/28)</f>
        <v>0</v>
      </c>
      <c r="H243" s="42">
        <f t="shared" si="116"/>
        <v>0</v>
      </c>
      <c r="I243" s="42">
        <f t="shared" si="116"/>
        <v>0</v>
      </c>
      <c r="J243" s="42">
        <f t="shared" si="116"/>
        <v>0</v>
      </c>
      <c r="K243" s="42">
        <f t="shared" si="116"/>
        <v>0</v>
      </c>
      <c r="L243" s="42">
        <f t="shared" si="116"/>
        <v>0</v>
      </c>
      <c r="M243" s="42">
        <f t="shared" si="116"/>
        <v>0</v>
      </c>
      <c r="N243" s="42">
        <f t="shared" si="116"/>
        <v>0</v>
      </c>
      <c r="O243" s="42">
        <f t="shared" si="116"/>
        <v>0</v>
      </c>
      <c r="P243" s="42">
        <f t="shared" si="116"/>
        <v>0</v>
      </c>
      <c r="Q243" s="42">
        <f t="shared" si="116"/>
        <v>0</v>
      </c>
      <c r="S243" s="1068" t="s">
        <v>455</v>
      </c>
      <c r="X243" s="21"/>
      <c r="Z243" s="115" t="s">
        <v>818</v>
      </c>
      <c r="AA243" s="31"/>
      <c r="AC243" s="42">
        <f>SUM(AE243:AP243)</f>
        <v>0</v>
      </c>
      <c r="AE243" s="42">
        <f>AE244*(14/17)*0.01*(44/28)</f>
        <v>0</v>
      </c>
      <c r="AF243" s="42">
        <f t="shared" ref="AF243:AP243" si="117">AF244*(14/17)*0.01*(44/28)</f>
        <v>0</v>
      </c>
      <c r="AG243" s="42">
        <f t="shared" si="117"/>
        <v>0</v>
      </c>
      <c r="AH243" s="42">
        <f t="shared" si="117"/>
        <v>0</v>
      </c>
      <c r="AI243" s="42">
        <f t="shared" si="117"/>
        <v>0</v>
      </c>
      <c r="AJ243" s="42">
        <f t="shared" si="117"/>
        <v>0</v>
      </c>
      <c r="AK243" s="42">
        <f t="shared" si="117"/>
        <v>0</v>
      </c>
      <c r="AL243" s="42">
        <f t="shared" si="117"/>
        <v>0</v>
      </c>
      <c r="AM243" s="42">
        <f t="shared" si="117"/>
        <v>0</v>
      </c>
      <c r="AN243" s="42">
        <f t="shared" si="117"/>
        <v>0</v>
      </c>
      <c r="AO243" s="42">
        <f t="shared" si="117"/>
        <v>0</v>
      </c>
      <c r="AP243" s="42">
        <f t="shared" si="117"/>
        <v>0</v>
      </c>
      <c r="AR243" s="20">
        <f t="shared" si="114"/>
        <v>0</v>
      </c>
      <c r="AS243">
        <f t="shared" si="114"/>
        <v>0</v>
      </c>
      <c r="AT243" t="str">
        <f>IFERROR(VLOOKUP(AR243,EFid!$A$77:$B$94,2,FALSE),"0")</f>
        <v>0</v>
      </c>
      <c r="AU243">
        <f t="shared" ref="AU243:AU244" si="118">AS243*AT243</f>
        <v>0</v>
      </c>
      <c r="AW243" s="21"/>
      <c r="AY243" s="115" t="s">
        <v>818</v>
      </c>
      <c r="AZ243" s="31"/>
      <c r="BB243" s="42">
        <f>SUM(BD243:BO243)</f>
        <v>0</v>
      </c>
      <c r="BD243" s="42">
        <f>BD244*(14/17)*0.01*(44/28)</f>
        <v>0</v>
      </c>
      <c r="BE243" s="42">
        <f t="shared" ref="BE243:BO243" si="119">BE244*(14/17)*0.01*(44/28)</f>
        <v>0</v>
      </c>
      <c r="BF243" s="42">
        <f t="shared" si="119"/>
        <v>0</v>
      </c>
      <c r="BG243" s="42">
        <f t="shared" si="119"/>
        <v>0</v>
      </c>
      <c r="BH243" s="42">
        <f t="shared" si="119"/>
        <v>0</v>
      </c>
      <c r="BI243" s="42">
        <f t="shared" si="119"/>
        <v>0</v>
      </c>
      <c r="BJ243" s="42">
        <f t="shared" si="119"/>
        <v>0</v>
      </c>
      <c r="BK243" s="42">
        <f t="shared" si="119"/>
        <v>0</v>
      </c>
      <c r="BL243" s="42">
        <f t="shared" si="119"/>
        <v>0</v>
      </c>
      <c r="BM243" s="42">
        <f t="shared" si="119"/>
        <v>0</v>
      </c>
      <c r="BN243" s="42">
        <f t="shared" si="119"/>
        <v>0</v>
      </c>
      <c r="BO243" s="42">
        <f t="shared" si="119"/>
        <v>0</v>
      </c>
      <c r="BQ243" s="20">
        <f t="shared" si="115"/>
        <v>0</v>
      </c>
      <c r="BR243">
        <f t="shared" si="115"/>
        <v>0</v>
      </c>
      <c r="BS243" t="str">
        <f>IFERROR(VLOOKUP(BQ243,EFid!$A$77:$B$94,2,FALSE),"0")</f>
        <v>0</v>
      </c>
      <c r="BT243">
        <f t="shared" ref="BT243:BT244" si="120">BR243*BS243</f>
        <v>0</v>
      </c>
      <c r="BV243" s="21"/>
    </row>
    <row r="244" spans="1:74" ht="15" thickBot="1">
      <c r="A244" s="344" t="s">
        <v>770</v>
      </c>
      <c r="B244" s="31" t="s">
        <v>771</v>
      </c>
      <c r="D244" s="824" t="e">
        <f>D225</f>
        <v>#REF!</v>
      </c>
      <c r="E244" t="s">
        <v>772</v>
      </c>
      <c r="F244" s="811">
        <f>F207</f>
        <v>0</v>
      </c>
      <c r="G244" s="811">
        <f t="shared" ref="G244:Q244" si="121">G207</f>
        <v>0</v>
      </c>
      <c r="H244" s="811">
        <f t="shared" si="121"/>
        <v>0</v>
      </c>
      <c r="I244" s="811">
        <f t="shared" si="121"/>
        <v>0</v>
      </c>
      <c r="J244" s="811">
        <f t="shared" si="121"/>
        <v>0</v>
      </c>
      <c r="K244" s="811">
        <f t="shared" si="121"/>
        <v>0</v>
      </c>
      <c r="L244" s="811">
        <f t="shared" si="121"/>
        <v>0</v>
      </c>
      <c r="M244" s="811">
        <f t="shared" si="121"/>
        <v>0</v>
      </c>
      <c r="N244" s="811">
        <f t="shared" si="121"/>
        <v>0</v>
      </c>
      <c r="O244" s="811">
        <f t="shared" si="121"/>
        <v>0</v>
      </c>
      <c r="P244" s="811">
        <f t="shared" si="121"/>
        <v>0</v>
      </c>
      <c r="Q244" s="811">
        <f t="shared" si="121"/>
        <v>0</v>
      </c>
      <c r="S244" s="20">
        <f t="shared" ref="S244:T246" si="122">T176</f>
        <v>0</v>
      </c>
      <c r="T244">
        <f t="shared" si="122"/>
        <v>0</v>
      </c>
      <c r="U244" t="str">
        <f>IFERROR(VLOOKUP(S244,EFid!$A$77:$B$94,2,FALSE),"0")</f>
        <v>0</v>
      </c>
      <c r="V244">
        <f>T244*U244</f>
        <v>0</v>
      </c>
      <c r="W244" s="444">
        <f>SUM(V244:V246)</f>
        <v>0</v>
      </c>
      <c r="X244" s="21"/>
      <c r="Z244" s="344" t="s">
        <v>770</v>
      </c>
      <c r="AA244" s="31" t="s">
        <v>771</v>
      </c>
      <c r="AC244" s="824" t="e">
        <f>AC225</f>
        <v>#REF!</v>
      </c>
      <c r="AD244" t="s">
        <v>772</v>
      </c>
      <c r="AE244" s="811">
        <f>AE207</f>
        <v>0</v>
      </c>
      <c r="AF244" s="811">
        <f t="shared" ref="AF244:AP244" si="123">AF207</f>
        <v>0</v>
      </c>
      <c r="AG244" s="811">
        <f t="shared" si="123"/>
        <v>0</v>
      </c>
      <c r="AH244" s="811">
        <f t="shared" si="123"/>
        <v>0</v>
      </c>
      <c r="AI244" s="811">
        <f t="shared" si="123"/>
        <v>0</v>
      </c>
      <c r="AJ244" s="811">
        <f t="shared" si="123"/>
        <v>0</v>
      </c>
      <c r="AK244" s="811">
        <f t="shared" si="123"/>
        <v>0</v>
      </c>
      <c r="AL244" s="811">
        <f t="shared" si="123"/>
        <v>0</v>
      </c>
      <c r="AM244" s="811">
        <f t="shared" si="123"/>
        <v>0</v>
      </c>
      <c r="AN244" s="811">
        <f t="shared" si="123"/>
        <v>0</v>
      </c>
      <c r="AO244" s="811">
        <f t="shared" si="123"/>
        <v>0</v>
      </c>
      <c r="AP244" s="811">
        <f t="shared" si="123"/>
        <v>0</v>
      </c>
      <c r="AR244" s="58">
        <f t="shared" si="114"/>
        <v>0</v>
      </c>
      <c r="AS244" s="36">
        <f t="shared" si="114"/>
        <v>0</v>
      </c>
      <c r="AT244" s="36" t="str">
        <f>IFERROR(VLOOKUP(AR244,EFid!$A$77:$B$94,2,FALSE),"0")</f>
        <v>0</v>
      </c>
      <c r="AU244" s="36">
        <f t="shared" si="118"/>
        <v>0</v>
      </c>
      <c r="AV244" s="36"/>
      <c r="AW244" s="37"/>
      <c r="AY244" s="344" t="s">
        <v>770</v>
      </c>
      <c r="AZ244" s="31" t="s">
        <v>771</v>
      </c>
      <c r="BB244" s="824" t="e">
        <f>BB225</f>
        <v>#REF!</v>
      </c>
      <c r="BC244" t="s">
        <v>772</v>
      </c>
      <c r="BD244" s="811">
        <f>BD207</f>
        <v>0</v>
      </c>
      <c r="BE244" s="811">
        <f t="shared" ref="BE244:BO244" si="124">BE207</f>
        <v>0</v>
      </c>
      <c r="BF244" s="811">
        <f t="shared" si="124"/>
        <v>0</v>
      </c>
      <c r="BG244" s="811">
        <f t="shared" si="124"/>
        <v>0</v>
      </c>
      <c r="BH244" s="811">
        <f t="shared" si="124"/>
        <v>0</v>
      </c>
      <c r="BI244" s="811">
        <f t="shared" si="124"/>
        <v>0</v>
      </c>
      <c r="BJ244" s="811">
        <f t="shared" si="124"/>
        <v>0</v>
      </c>
      <c r="BK244" s="811">
        <f t="shared" si="124"/>
        <v>0</v>
      </c>
      <c r="BL244" s="811">
        <f t="shared" si="124"/>
        <v>0</v>
      </c>
      <c r="BM244" s="811">
        <f t="shared" si="124"/>
        <v>0</v>
      </c>
      <c r="BN244" s="811">
        <f t="shared" si="124"/>
        <v>0</v>
      </c>
      <c r="BO244" s="811">
        <f t="shared" si="124"/>
        <v>0</v>
      </c>
      <c r="BQ244" s="58">
        <f t="shared" si="115"/>
        <v>0</v>
      </c>
      <c r="BR244" s="36">
        <f t="shared" si="115"/>
        <v>0</v>
      </c>
      <c r="BS244" s="36" t="str">
        <f>IFERROR(VLOOKUP(BQ244,EFid!$A$77:$B$94,2,FALSE),"0")</f>
        <v>0</v>
      </c>
      <c r="BT244" s="36">
        <f t="shared" si="120"/>
        <v>0</v>
      </c>
      <c r="BU244" s="36"/>
      <c r="BV244" s="37"/>
    </row>
    <row r="245" spans="1:74" ht="15" thickBot="1">
      <c r="A245" s="193" t="s">
        <v>819</v>
      </c>
      <c r="B245" s="178"/>
      <c r="C245" s="178"/>
      <c r="D245" s="194"/>
      <c r="S245" s="20">
        <f t="shared" si="122"/>
        <v>0</v>
      </c>
      <c r="T245">
        <f t="shared" si="122"/>
        <v>0</v>
      </c>
      <c r="U245" t="str">
        <f>IFERROR(VLOOKUP(S245,EFid!$A$77:$B$94,2,FALSE),"0")</f>
        <v>0</v>
      </c>
      <c r="V245">
        <f t="shared" ref="V245:V246" si="125">T245*U245</f>
        <v>0</v>
      </c>
      <c r="X245" s="21"/>
      <c r="Z245" s="193" t="s">
        <v>819</v>
      </c>
      <c r="AA245" s="178"/>
      <c r="AB245" s="178"/>
      <c r="AC245" s="194"/>
      <c r="AY245" s="193" t="s">
        <v>819</v>
      </c>
      <c r="AZ245" s="178"/>
      <c r="BA245" s="178"/>
      <c r="BB245" s="194"/>
    </row>
    <row r="246" spans="1:74" ht="15" thickBot="1">
      <c r="A246" s="115" t="s">
        <v>820</v>
      </c>
      <c r="B246" s="31"/>
      <c r="D246" s="187">
        <f>SUM(F246:Q246)</f>
        <v>0</v>
      </c>
      <c r="F246" s="42">
        <f>F247*(14/17)*0.01*(44/28)</f>
        <v>0</v>
      </c>
      <c r="G246" s="42">
        <f t="shared" ref="G246:Q246" si="126">G247*(14/17)*0.01*(44/28)</f>
        <v>0</v>
      </c>
      <c r="H246" s="42">
        <f t="shared" si="126"/>
        <v>0</v>
      </c>
      <c r="I246" s="42">
        <f t="shared" si="126"/>
        <v>0</v>
      </c>
      <c r="J246" s="42">
        <f t="shared" si="126"/>
        <v>0</v>
      </c>
      <c r="K246" s="42">
        <f t="shared" si="126"/>
        <v>0</v>
      </c>
      <c r="L246" s="42">
        <f t="shared" si="126"/>
        <v>0</v>
      </c>
      <c r="M246" s="42">
        <f t="shared" si="126"/>
        <v>0</v>
      </c>
      <c r="N246" s="42">
        <f t="shared" si="126"/>
        <v>0</v>
      </c>
      <c r="O246" s="42">
        <f t="shared" si="126"/>
        <v>0</v>
      </c>
      <c r="P246" s="42">
        <f t="shared" si="126"/>
        <v>0</v>
      </c>
      <c r="Q246" s="42">
        <f t="shared" si="126"/>
        <v>0</v>
      </c>
      <c r="S246" s="58">
        <f t="shared" si="122"/>
        <v>0</v>
      </c>
      <c r="T246" s="36">
        <f t="shared" si="122"/>
        <v>0</v>
      </c>
      <c r="U246" s="36" t="str">
        <f>IFERROR(VLOOKUP(S246,EFid!$A$77:$B$94,2,FALSE),"0")</f>
        <v>0</v>
      </c>
      <c r="V246" s="36">
        <f t="shared" si="125"/>
        <v>0</v>
      </c>
      <c r="W246" s="36"/>
      <c r="X246" s="37"/>
      <c r="Z246" s="115" t="s">
        <v>820</v>
      </c>
      <c r="AA246" s="31"/>
      <c r="AC246" s="187">
        <f>SUM(AE246:AP246)</f>
        <v>0</v>
      </c>
      <c r="AE246" s="42">
        <f>AE247*(14/17)*0.01*(44/28)</f>
        <v>0</v>
      </c>
      <c r="AF246" s="42">
        <f t="shared" ref="AF246:AP246" si="127">AF247*(14/17)*0.01*(44/28)</f>
        <v>0</v>
      </c>
      <c r="AG246" s="42">
        <f t="shared" si="127"/>
        <v>0</v>
      </c>
      <c r="AH246" s="42">
        <f t="shared" si="127"/>
        <v>0</v>
      </c>
      <c r="AI246" s="42">
        <f t="shared" si="127"/>
        <v>0</v>
      </c>
      <c r="AJ246" s="42">
        <f t="shared" si="127"/>
        <v>0</v>
      </c>
      <c r="AK246" s="42">
        <f t="shared" si="127"/>
        <v>0</v>
      </c>
      <c r="AL246" s="42">
        <f t="shared" si="127"/>
        <v>0</v>
      </c>
      <c r="AM246" s="42">
        <f t="shared" si="127"/>
        <v>0</v>
      </c>
      <c r="AN246" s="42">
        <f t="shared" si="127"/>
        <v>0</v>
      </c>
      <c r="AO246" s="42">
        <f t="shared" si="127"/>
        <v>0</v>
      </c>
      <c r="AP246" s="42">
        <f t="shared" si="127"/>
        <v>0</v>
      </c>
      <c r="AR246" s="15" t="s">
        <v>1002</v>
      </c>
      <c r="AS246" s="16"/>
      <c r="AT246" s="17"/>
      <c r="AY246" s="115" t="s">
        <v>820</v>
      </c>
      <c r="AZ246" s="31"/>
      <c r="BB246" s="187">
        <f>SUM(BD246:BO246)</f>
        <v>0</v>
      </c>
      <c r="BD246" s="42">
        <f>BD247*(14/17)*0.01*(44/28)</f>
        <v>0</v>
      </c>
      <c r="BE246" s="42">
        <f t="shared" ref="BE246:BO246" si="128">BE247*(14/17)*0.01*(44/28)</f>
        <v>0</v>
      </c>
      <c r="BF246" s="42">
        <f t="shared" si="128"/>
        <v>0</v>
      </c>
      <c r="BG246" s="42">
        <f t="shared" si="128"/>
        <v>0</v>
      </c>
      <c r="BH246" s="42">
        <f t="shared" si="128"/>
        <v>0</v>
      </c>
      <c r="BI246" s="42">
        <f t="shared" si="128"/>
        <v>0</v>
      </c>
      <c r="BJ246" s="42">
        <f t="shared" si="128"/>
        <v>0</v>
      </c>
      <c r="BK246" s="42">
        <f t="shared" si="128"/>
        <v>0</v>
      </c>
      <c r="BL246" s="42">
        <f t="shared" si="128"/>
        <v>0</v>
      </c>
      <c r="BM246" s="42">
        <f t="shared" si="128"/>
        <v>0</v>
      </c>
      <c r="BN246" s="42">
        <f t="shared" si="128"/>
        <v>0</v>
      </c>
      <c r="BO246" s="42">
        <f t="shared" si="128"/>
        <v>0</v>
      </c>
      <c r="BQ246" s="15" t="s">
        <v>1002</v>
      </c>
      <c r="BR246" s="16"/>
      <c r="BS246" s="17"/>
    </row>
    <row r="247" spans="1:74" ht="15" thickBot="1">
      <c r="A247" s="346" t="s">
        <v>789</v>
      </c>
      <c r="B247" s="345" t="s">
        <v>790</v>
      </c>
      <c r="C247" s="36"/>
      <c r="D247" s="42" t="e">
        <f>D222</f>
        <v>#REF!</v>
      </c>
      <c r="E247" t="s">
        <v>772</v>
      </c>
      <c r="F247" s="811">
        <f>F222</f>
        <v>0</v>
      </c>
      <c r="G247" s="811">
        <f t="shared" ref="G247:Q247" si="129">G222</f>
        <v>0</v>
      </c>
      <c r="H247" s="811">
        <f t="shared" si="129"/>
        <v>0</v>
      </c>
      <c r="I247" s="811">
        <f t="shared" si="129"/>
        <v>0</v>
      </c>
      <c r="J247" s="811">
        <f t="shared" si="129"/>
        <v>0</v>
      </c>
      <c r="K247" s="811">
        <f t="shared" si="129"/>
        <v>0</v>
      </c>
      <c r="L247" s="811">
        <f t="shared" si="129"/>
        <v>0</v>
      </c>
      <c r="M247" s="811">
        <f t="shared" si="129"/>
        <v>0</v>
      </c>
      <c r="N247" s="811">
        <f t="shared" si="129"/>
        <v>0</v>
      </c>
      <c r="O247" s="811">
        <f t="shared" si="129"/>
        <v>0</v>
      </c>
      <c r="P247" s="811">
        <f t="shared" si="129"/>
        <v>0</v>
      </c>
      <c r="Q247" s="811">
        <f t="shared" si="129"/>
        <v>0</v>
      </c>
      <c r="Z247" s="346" t="s">
        <v>789</v>
      </c>
      <c r="AA247" s="345" t="s">
        <v>790</v>
      </c>
      <c r="AB247" s="36"/>
      <c r="AC247" s="42" t="e">
        <f>AC222</f>
        <v>#REF!</v>
      </c>
      <c r="AD247" t="s">
        <v>772</v>
      </c>
      <c r="AE247" s="811">
        <f>AE222</f>
        <v>0</v>
      </c>
      <c r="AF247" s="811">
        <f t="shared" ref="AF247:AP247" si="130">AF222</f>
        <v>0</v>
      </c>
      <c r="AG247" s="811">
        <f t="shared" si="130"/>
        <v>0</v>
      </c>
      <c r="AH247" s="811">
        <f t="shared" si="130"/>
        <v>0</v>
      </c>
      <c r="AI247" s="811">
        <f t="shared" si="130"/>
        <v>0</v>
      </c>
      <c r="AJ247" s="811">
        <f t="shared" si="130"/>
        <v>0</v>
      </c>
      <c r="AK247" s="811">
        <f t="shared" si="130"/>
        <v>0</v>
      </c>
      <c r="AL247" s="811">
        <f t="shared" si="130"/>
        <v>0</v>
      </c>
      <c r="AM247" s="811">
        <f t="shared" si="130"/>
        <v>0</v>
      </c>
      <c r="AN247" s="811">
        <f t="shared" si="130"/>
        <v>0</v>
      </c>
      <c r="AO247" s="811">
        <f t="shared" si="130"/>
        <v>0</v>
      </c>
      <c r="AP247" s="811">
        <f t="shared" si="130"/>
        <v>0</v>
      </c>
      <c r="AR247" s="58">
        <f>Loomakasvatus!T37</f>
        <v>0</v>
      </c>
      <c r="AS247" s="36">
        <f>SUM(EFid!$B$238:$B$239)</f>
        <v>0.42100000000000004</v>
      </c>
      <c r="AT247" s="1069">
        <f>AR247*AS247</f>
        <v>0</v>
      </c>
      <c r="AY247" s="346" t="s">
        <v>789</v>
      </c>
      <c r="AZ247" s="345" t="s">
        <v>790</v>
      </c>
      <c r="BA247" s="36"/>
      <c r="BB247" s="42" t="e">
        <f>BB222</f>
        <v>#REF!</v>
      </c>
      <c r="BC247" t="s">
        <v>772</v>
      </c>
      <c r="BD247" s="811">
        <f>BD222</f>
        <v>0</v>
      </c>
      <c r="BE247" s="811">
        <f t="shared" ref="BE247:BO247" si="131">BE222</f>
        <v>0</v>
      </c>
      <c r="BF247" s="811">
        <f t="shared" si="131"/>
        <v>0</v>
      </c>
      <c r="BG247" s="811">
        <f t="shared" si="131"/>
        <v>0</v>
      </c>
      <c r="BH247" s="811">
        <f t="shared" si="131"/>
        <v>0</v>
      </c>
      <c r="BI247" s="811">
        <f t="shared" si="131"/>
        <v>0</v>
      </c>
      <c r="BJ247" s="811">
        <f t="shared" si="131"/>
        <v>0</v>
      </c>
      <c r="BK247" s="811">
        <f t="shared" si="131"/>
        <v>0</v>
      </c>
      <c r="BL247" s="811">
        <f t="shared" si="131"/>
        <v>0</v>
      </c>
      <c r="BM247" s="811">
        <f t="shared" si="131"/>
        <v>0</v>
      </c>
      <c r="BN247" s="811">
        <f t="shared" si="131"/>
        <v>0</v>
      </c>
      <c r="BO247" s="811">
        <f t="shared" si="131"/>
        <v>0</v>
      </c>
      <c r="BQ247" s="58">
        <f>Loomakasvatus!AJ37</f>
        <v>0</v>
      </c>
      <c r="BR247" s="36">
        <f>SUM(EFid!$B$238:$B$239)</f>
        <v>0.42100000000000004</v>
      </c>
      <c r="BS247" s="1069">
        <f>BQ247*BR247</f>
        <v>0</v>
      </c>
    </row>
    <row r="248" spans="1:74">
      <c r="A248" s="31"/>
      <c r="B248" s="31"/>
      <c r="S248" s="15" t="s">
        <v>1002</v>
      </c>
      <c r="T248" s="16"/>
      <c r="U248" s="17"/>
    </row>
    <row r="249" spans="1:74" ht="15" thickBot="1">
      <c r="A249" s="1"/>
      <c r="B249" s="1"/>
      <c r="C249" s="1"/>
      <c r="D249" s="1"/>
      <c r="S249" s="58">
        <f>Loomakasvatus!D37</f>
        <v>0</v>
      </c>
      <c r="T249" s="36">
        <f>SUM(EFid!B238:B239)</f>
        <v>0.42100000000000004</v>
      </c>
      <c r="U249" s="1069">
        <f>S249*T249</f>
        <v>0</v>
      </c>
    </row>
    <row r="250" spans="1:74" ht="15" thickBot="1"/>
    <row r="251" spans="1:74" ht="15" thickBot="1">
      <c r="A251" s="1344" t="s">
        <v>1030</v>
      </c>
      <c r="B251" s="1349"/>
      <c r="C251" s="1349"/>
      <c r="D251" s="1349"/>
      <c r="E251" s="1350"/>
      <c r="F251" s="1350"/>
      <c r="G251" s="1350"/>
      <c r="H251" s="1350"/>
      <c r="I251" s="1350"/>
      <c r="J251" s="1350"/>
      <c r="K251" s="1351"/>
      <c r="M251" s="1344" t="s">
        <v>1031</v>
      </c>
      <c r="N251" s="1349"/>
      <c r="O251" s="1349"/>
      <c r="P251" s="1349"/>
      <c r="Q251" s="1350"/>
      <c r="R251" s="1350"/>
      <c r="S251" s="1350"/>
      <c r="T251" s="1350"/>
      <c r="U251" s="1350"/>
      <c r="V251" s="1350"/>
      <c r="W251" s="1351"/>
      <c r="Z251" s="1344" t="s">
        <v>1032</v>
      </c>
      <c r="AA251" s="1349"/>
      <c r="AB251" s="1349"/>
      <c r="AC251" s="1349"/>
      <c r="AD251" s="1350"/>
      <c r="AE251" s="1350"/>
      <c r="AF251" s="1350"/>
      <c r="AG251" s="1350"/>
      <c r="AH251" s="1350"/>
      <c r="AI251" s="1350"/>
      <c r="AJ251" s="1351"/>
    </row>
    <row r="252" spans="1:74">
      <c r="A252" s="193" t="s">
        <v>875</v>
      </c>
      <c r="B252" s="178"/>
      <c r="C252" s="178"/>
      <c r="D252" s="194"/>
      <c r="F252" s="90" t="s">
        <v>181</v>
      </c>
      <c r="G252" s="16"/>
      <c r="H252" s="16"/>
      <c r="I252" s="16"/>
      <c r="J252" s="16"/>
      <c r="K252" s="17"/>
      <c r="M252" s="193" t="s">
        <v>875</v>
      </c>
      <c r="N252" s="178"/>
      <c r="O252" s="178"/>
      <c r="P252" s="194"/>
      <c r="R252" s="90" t="s">
        <v>181</v>
      </c>
      <c r="S252" s="16"/>
      <c r="T252" s="16"/>
      <c r="U252" s="16"/>
      <c r="V252" s="16"/>
      <c r="W252" s="17"/>
      <c r="Z252" s="193" t="s">
        <v>875</v>
      </c>
      <c r="AA252" s="178"/>
      <c r="AB252" s="178"/>
      <c r="AC252" s="194"/>
      <c r="AE252" s="90" t="s">
        <v>181</v>
      </c>
      <c r="AF252" s="16"/>
      <c r="AG252" s="16"/>
      <c r="AH252" s="16"/>
      <c r="AI252" s="16"/>
      <c r="AJ252" s="17"/>
    </row>
    <row r="253" spans="1:74">
      <c r="A253" s="20" t="s">
        <v>876</v>
      </c>
      <c r="B253" t="s">
        <v>877</v>
      </c>
      <c r="D253" s="187">
        <f>D254*D255</f>
        <v>0</v>
      </c>
      <c r="F253" s="80" t="s">
        <v>515</v>
      </c>
      <c r="I253" t="s">
        <v>516</v>
      </c>
      <c r="J253" t="s">
        <v>514</v>
      </c>
      <c r="K253" s="21"/>
      <c r="M253" s="20" t="s">
        <v>876</v>
      </c>
      <c r="N253" t="s">
        <v>877</v>
      </c>
      <c r="P253" s="187">
        <f>P254*P255</f>
        <v>0</v>
      </c>
      <c r="R253" s="80" t="s">
        <v>515</v>
      </c>
      <c r="U253" t="s">
        <v>516</v>
      </c>
      <c r="V253" t="s">
        <v>514</v>
      </c>
      <c r="W253" s="21"/>
      <c r="Z253" s="20" t="s">
        <v>876</v>
      </c>
      <c r="AA253" t="s">
        <v>877</v>
      </c>
      <c r="AC253" s="187">
        <f>AC254*AC255</f>
        <v>0</v>
      </c>
      <c r="AE253" s="80" t="s">
        <v>515</v>
      </c>
      <c r="AH253" t="s">
        <v>516</v>
      </c>
      <c r="AI253" t="s">
        <v>514</v>
      </c>
      <c r="AJ253" s="21"/>
    </row>
    <row r="254" spans="1:74">
      <c r="A254" s="85" t="s">
        <v>878</v>
      </c>
      <c r="B254" t="s">
        <v>879</v>
      </c>
      <c r="D254" s="187">
        <f>'M1 - LK'!$Q$4</f>
        <v>8</v>
      </c>
      <c r="F254" s="20" t="s">
        <v>240</v>
      </c>
      <c r="G254">
        <f>Loomakasvatus!C413</f>
        <v>0</v>
      </c>
      <c r="H254">
        <f>Loomakasvatus!D413</f>
        <v>0</v>
      </c>
      <c r="I254" t="str">
        <f>IFERROR(VLOOKUP(G254,EFid!$A$50:$B$73,2,FALSE),"0")</f>
        <v>0</v>
      </c>
      <c r="J254">
        <f>H254*I254</f>
        <v>0</v>
      </c>
      <c r="K254" s="445">
        <f>SUM(J254,J255,J256)</f>
        <v>0</v>
      </c>
      <c r="M254" s="85" t="s">
        <v>878</v>
      </c>
      <c r="N254" t="s">
        <v>879</v>
      </c>
      <c r="P254" s="187">
        <f>'M1 - LK'!$Q$4</f>
        <v>8</v>
      </c>
      <c r="R254" s="20" t="s">
        <v>240</v>
      </c>
      <c r="S254">
        <f>Loomakasvatus!J413</f>
        <v>0</v>
      </c>
      <c r="T254">
        <f>Loomakasvatus!K413</f>
        <v>0</v>
      </c>
      <c r="U254" t="str">
        <f>IFERROR(VLOOKUP(S254,EFid!$A$50:$B$73,2,FALSE),"0")</f>
        <v>0</v>
      </c>
      <c r="V254">
        <f>T254*U254</f>
        <v>0</v>
      </c>
      <c r="W254" s="445">
        <f>SUM(V254,V255,V256)</f>
        <v>0</v>
      </c>
      <c r="Z254" s="85" t="s">
        <v>878</v>
      </c>
      <c r="AA254" t="s">
        <v>879</v>
      </c>
      <c r="AC254" s="187">
        <f>'M1 - LK'!$Q$4</f>
        <v>8</v>
      </c>
      <c r="AE254" s="20" t="s">
        <v>240</v>
      </c>
      <c r="AF254">
        <f>Loomakasvatus!O413</f>
        <v>0</v>
      </c>
      <c r="AG254">
        <f>Loomakasvatus!P413</f>
        <v>0</v>
      </c>
      <c r="AH254" t="str">
        <f>IFERROR(VLOOKUP(AF254,EFid!$A$50:$B$73,2,FALSE),"0")</f>
        <v>0</v>
      </c>
      <c r="AI254">
        <f>AG254*AH254</f>
        <v>0</v>
      </c>
      <c r="AJ254" s="445">
        <f>SUM(AI254,AI255,AI256)</f>
        <v>0</v>
      </c>
    </row>
    <row r="255" spans="1:74" ht="15" thickBot="1">
      <c r="A255" s="182" t="s">
        <v>880</v>
      </c>
      <c r="B255" s="87" t="s">
        <v>881</v>
      </c>
      <c r="C255" s="8"/>
      <c r="D255" s="185">
        <f>Loomakasvatus!$D$400</f>
        <v>0</v>
      </c>
      <c r="F255" s="20" t="s">
        <v>243</v>
      </c>
      <c r="G255">
        <f>Loomakasvatus!C414</f>
        <v>0</v>
      </c>
      <c r="H255">
        <f>Loomakasvatus!D414</f>
        <v>0</v>
      </c>
      <c r="I255" t="str">
        <f>IFERROR(VLOOKUP(G255,EFid!$A$50:$B$73,2,FALSE),"0")</f>
        <v>0</v>
      </c>
      <c r="J255">
        <f>H255*I255</f>
        <v>0</v>
      </c>
      <c r="K255" s="21"/>
      <c r="M255" s="182" t="s">
        <v>880</v>
      </c>
      <c r="N255" s="87" t="s">
        <v>881</v>
      </c>
      <c r="O255" s="8"/>
      <c r="P255" s="185">
        <f>Loomakasvatus!K400</f>
        <v>0</v>
      </c>
      <c r="R255" s="20" t="s">
        <v>243</v>
      </c>
      <c r="S255">
        <f>Loomakasvatus!J414</f>
        <v>0</v>
      </c>
      <c r="T255">
        <f>Loomakasvatus!K414</f>
        <v>0</v>
      </c>
      <c r="U255" t="str">
        <f>IFERROR(VLOOKUP(S255,EFid!$A$50:$B$73,2,FALSE),"0")</f>
        <v>0</v>
      </c>
      <c r="V255">
        <f>T255*U255</f>
        <v>0</v>
      </c>
      <c r="W255" s="21"/>
      <c r="Z255" s="182" t="s">
        <v>880</v>
      </c>
      <c r="AA255" s="87" t="s">
        <v>881</v>
      </c>
      <c r="AB255" s="8"/>
      <c r="AC255" s="185">
        <f>Loomakasvatus!P400</f>
        <v>0</v>
      </c>
      <c r="AE255" s="20" t="s">
        <v>243</v>
      </c>
      <c r="AF255">
        <f>Loomakasvatus!O414</f>
        <v>0</v>
      </c>
      <c r="AG255">
        <f>Loomakasvatus!P414</f>
        <v>0</v>
      </c>
      <c r="AH255" t="str">
        <f>IFERROR(VLOOKUP(AF255,EFid!$A$50:$B$73,2,FALSE),"0")</f>
        <v>0</v>
      </c>
      <c r="AI255">
        <f>AG255*AH255</f>
        <v>0</v>
      </c>
      <c r="AJ255" s="21"/>
    </row>
    <row r="256" spans="1:74">
      <c r="A256" s="193" t="s">
        <v>882</v>
      </c>
      <c r="B256" s="178"/>
      <c r="C256" s="178"/>
      <c r="D256" s="194"/>
      <c r="F256" s="20" t="s">
        <v>244</v>
      </c>
      <c r="G256">
        <f>Loomakasvatus!C415</f>
        <v>0</v>
      </c>
      <c r="H256">
        <f>Loomakasvatus!D415</f>
        <v>0</v>
      </c>
      <c r="I256" t="str">
        <f>IFERROR(VLOOKUP(G256,EFid!$A$50:$B$73,2,FALSE),"0")</f>
        <v>0</v>
      </c>
      <c r="J256">
        <f t="shared" ref="J256" si="132">H256*I256</f>
        <v>0</v>
      </c>
      <c r="K256" s="21"/>
      <c r="M256" s="193" t="s">
        <v>882</v>
      </c>
      <c r="N256" s="178"/>
      <c r="O256" s="178"/>
      <c r="P256" s="194"/>
      <c r="R256" s="20" t="s">
        <v>244</v>
      </c>
      <c r="S256">
        <f>Loomakasvatus!J415</f>
        <v>0</v>
      </c>
      <c r="T256">
        <f>Loomakasvatus!K415</f>
        <v>0</v>
      </c>
      <c r="U256" t="str">
        <f>IFERROR(VLOOKUP(S256,EFid!$A$50:$B$73,2,FALSE),"0")</f>
        <v>0</v>
      </c>
      <c r="V256">
        <f t="shared" ref="V256" si="133">T256*U256</f>
        <v>0</v>
      </c>
      <c r="W256" s="21"/>
      <c r="Z256" s="193" t="s">
        <v>882</v>
      </c>
      <c r="AA256" s="178"/>
      <c r="AB256" s="178"/>
      <c r="AC256" s="194"/>
      <c r="AE256" s="20" t="s">
        <v>244</v>
      </c>
      <c r="AF256">
        <f>Loomakasvatus!O415</f>
        <v>0</v>
      </c>
      <c r="AG256">
        <f>Loomakasvatus!P415</f>
        <v>0</v>
      </c>
      <c r="AH256" t="str">
        <f>IFERROR(VLOOKUP(AF256,EFid!$A$50:$B$73,2,FALSE),"0")</f>
        <v>0</v>
      </c>
      <c r="AI256">
        <f t="shared" ref="AI256" si="134">AG256*AH256</f>
        <v>0</v>
      </c>
      <c r="AJ256" s="21"/>
    </row>
    <row r="257" spans="1:36">
      <c r="A257" s="20" t="s">
        <v>883</v>
      </c>
      <c r="B257" t="s">
        <v>884</v>
      </c>
      <c r="D257" s="187" t="e">
        <f>D259*D258</f>
        <v>#N/A</v>
      </c>
      <c r="F257" s="20"/>
      <c r="K257" s="21"/>
      <c r="M257" s="20" t="s">
        <v>883</v>
      </c>
      <c r="N257" t="s">
        <v>884</v>
      </c>
      <c r="P257" s="187" t="e">
        <f>P259*P258</f>
        <v>#N/A</v>
      </c>
      <c r="R257" s="20"/>
      <c r="W257" s="21"/>
      <c r="Z257" s="20" t="s">
        <v>883</v>
      </c>
      <c r="AA257" t="s">
        <v>884</v>
      </c>
      <c r="AC257" s="187" t="e">
        <f>AC259*AC258</f>
        <v>#N/A</v>
      </c>
      <c r="AE257" s="20"/>
      <c r="AJ257" s="21"/>
    </row>
    <row r="258" spans="1:36">
      <c r="A258" s="89" t="s">
        <v>885</v>
      </c>
      <c r="B258" t="s">
        <v>886</v>
      </c>
      <c r="D258" s="187" t="e">
        <f>HLOOKUP(Loomakasvatus!$D$402,'M1 - LK'!$R$14:$T$15,2,FALSE)</f>
        <v>#N/A</v>
      </c>
      <c r="F258" s="20" t="str">
        <f>Loomakasvatus!B407</f>
        <v>Kasutatud soojusenergia liik 1</v>
      </c>
      <c r="G258">
        <f>Loomakasvatus!C407</f>
        <v>0</v>
      </c>
      <c r="H258">
        <f>Loomakasvatus!D407</f>
        <v>0</v>
      </c>
      <c r="I258">
        <f>IFERROR(VLOOKUP(G258,EFid!$A$3:$D$31,2,FALSE),0)</f>
        <v>0</v>
      </c>
      <c r="J258">
        <f>I258*H258</f>
        <v>0</v>
      </c>
      <c r="K258" s="445">
        <f>SUM(J258,J259,J260)</f>
        <v>0</v>
      </c>
      <c r="M258" s="89" t="s">
        <v>885</v>
      </c>
      <c r="N258" t="s">
        <v>886</v>
      </c>
      <c r="P258" s="187" t="e">
        <f>HLOOKUP(Loomakasvatus!K402,'M1 - LK'!$R$14:$T$15,2,FALSE)</f>
        <v>#N/A</v>
      </c>
      <c r="R258" s="20" t="str">
        <f>Loomakasvatus!I407</f>
        <v>Kasutatud soojusenergia liik 1</v>
      </c>
      <c r="S258">
        <f>Loomakasvatus!J407</f>
        <v>0</v>
      </c>
      <c r="T258">
        <f>Loomakasvatus!K407</f>
        <v>0</v>
      </c>
      <c r="U258">
        <f>IFERROR(VLOOKUP(S258,EFid!$A$3:$D$31,2,FALSE),0)</f>
        <v>0</v>
      </c>
      <c r="V258">
        <f>U258*T258</f>
        <v>0</v>
      </c>
      <c r="W258" s="445">
        <f>SUM(V258,V259,V260)</f>
        <v>0</v>
      </c>
      <c r="Z258" s="89" t="s">
        <v>885</v>
      </c>
      <c r="AA258" t="s">
        <v>886</v>
      </c>
      <c r="AC258" s="187" t="e">
        <f>HLOOKUP(Loomakasvatus!P402,'M1 - LK'!$R$14:$T$15,2,FALSE)</f>
        <v>#N/A</v>
      </c>
      <c r="AE258" s="20" t="str">
        <f>Loomakasvatus!N407</f>
        <v>Kasutatud soojusenergia liik 1</v>
      </c>
      <c r="AF258">
        <f>Loomakasvatus!O407</f>
        <v>0</v>
      </c>
      <c r="AG258">
        <f>Loomakasvatus!P407</f>
        <v>0</v>
      </c>
      <c r="AH258">
        <f>IFERROR(VLOOKUP(AF258,EFid!$A$3:$D$31,2,FALSE),0)</f>
        <v>0</v>
      </c>
      <c r="AI258">
        <f>AH258*AG258</f>
        <v>0</v>
      </c>
      <c r="AJ258" s="445">
        <f>SUM(AI258,AI259,AI260)</f>
        <v>0</v>
      </c>
    </row>
    <row r="259" spans="1:36" ht="15" thickBot="1">
      <c r="A259" s="182" t="s">
        <v>887</v>
      </c>
      <c r="B259" s="87" t="s">
        <v>636</v>
      </c>
      <c r="C259" s="8"/>
      <c r="D259" s="185">
        <f>Loomakasvatus!$D$400</f>
        <v>0</v>
      </c>
      <c r="F259" s="20" t="str">
        <f>Loomakasvatus!B408</f>
        <v>Kasutatud soojusenergia liik 2</v>
      </c>
      <c r="G259">
        <f>Loomakasvatus!C408</f>
        <v>0</v>
      </c>
      <c r="H259">
        <f>Loomakasvatus!D408</f>
        <v>0</v>
      </c>
      <c r="I259">
        <f>IFERROR(VLOOKUP(G259,EFid!$A$3:$D$31,2,FALSE),0)</f>
        <v>0</v>
      </c>
      <c r="J259">
        <f t="shared" ref="J259:J301" si="135">I259*H259</f>
        <v>0</v>
      </c>
      <c r="K259" s="21"/>
      <c r="M259" s="182" t="s">
        <v>887</v>
      </c>
      <c r="N259" s="87" t="s">
        <v>636</v>
      </c>
      <c r="O259" s="8"/>
      <c r="P259" s="185">
        <f>Loomakasvatus!K400</f>
        <v>0</v>
      </c>
      <c r="R259" s="20" t="str">
        <f>Loomakasvatus!I408</f>
        <v>Kasutatud soojusenergia liik 2</v>
      </c>
      <c r="S259">
        <f>Loomakasvatus!J408</f>
        <v>0</v>
      </c>
      <c r="T259">
        <f>Loomakasvatus!K408</f>
        <v>0</v>
      </c>
      <c r="U259">
        <f>IFERROR(VLOOKUP(S259,EFid!$A$3:$D$31,2,FALSE),0)</f>
        <v>0</v>
      </c>
      <c r="V259">
        <f t="shared" ref="V259:V263" si="136">U259*T259</f>
        <v>0</v>
      </c>
      <c r="W259" s="21"/>
      <c r="Z259" s="182" t="s">
        <v>887</v>
      </c>
      <c r="AA259" s="87" t="s">
        <v>636</v>
      </c>
      <c r="AB259" s="8"/>
      <c r="AC259" s="185">
        <f>Loomakasvatus!P400</f>
        <v>0</v>
      </c>
      <c r="AE259" s="20" t="str">
        <f>Loomakasvatus!N408</f>
        <v>Kasutatud soojusenergia liik 2</v>
      </c>
      <c r="AF259">
        <f>Loomakasvatus!O408</f>
        <v>0</v>
      </c>
      <c r="AG259">
        <f>Loomakasvatus!P408</f>
        <v>0</v>
      </c>
      <c r="AH259">
        <f>IFERROR(VLOOKUP(AF259,EFid!$A$3:$D$31,2,FALSE),0)</f>
        <v>0</v>
      </c>
      <c r="AI259">
        <f t="shared" ref="AI259:AI263" si="137">AH259*AG259</f>
        <v>0</v>
      </c>
      <c r="AJ259" s="21"/>
    </row>
    <row r="260" spans="1:36">
      <c r="F260" s="20" t="str">
        <f>Loomakasvatus!B409</f>
        <v>Kasutatud soojusenergia liik 3</v>
      </c>
      <c r="G260">
        <f>Loomakasvatus!C409</f>
        <v>0</v>
      </c>
      <c r="H260">
        <f>Loomakasvatus!D409</f>
        <v>0</v>
      </c>
      <c r="I260">
        <f>IFERROR(VLOOKUP(G260,EFid!$A$3:$D$31,2,FALSE),0)</f>
        <v>0</v>
      </c>
      <c r="J260">
        <f t="shared" si="135"/>
        <v>0</v>
      </c>
      <c r="K260" s="21"/>
      <c r="R260" s="20" t="str">
        <f>Loomakasvatus!I409</f>
        <v>Kasutatud soojusenergia liik 3</v>
      </c>
      <c r="S260">
        <f>Loomakasvatus!J409</f>
        <v>0</v>
      </c>
      <c r="T260">
        <f>Loomakasvatus!K409</f>
        <v>0</v>
      </c>
      <c r="U260">
        <f>IFERROR(VLOOKUP(S260,EFid!$A$3:$D$31,2,FALSE),0)</f>
        <v>0</v>
      </c>
      <c r="V260">
        <f t="shared" si="136"/>
        <v>0</v>
      </c>
      <c r="W260" s="21"/>
      <c r="AE260" s="20" t="str">
        <f>Loomakasvatus!N409</f>
        <v>Kasutatud soojusenergia liik 3</v>
      </c>
      <c r="AF260">
        <f>Loomakasvatus!O409</f>
        <v>0</v>
      </c>
      <c r="AG260">
        <f>Loomakasvatus!P409</f>
        <v>0</v>
      </c>
      <c r="AH260">
        <f>IFERROR(VLOOKUP(AF260,EFid!$A$3:$D$31,2,FALSE),0)</f>
        <v>0</v>
      </c>
      <c r="AI260">
        <f t="shared" si="137"/>
        <v>0</v>
      </c>
      <c r="AJ260" s="21"/>
    </row>
    <row r="261" spans="1:36">
      <c r="A261" s="193" t="s">
        <v>888</v>
      </c>
      <c r="B261" s="178"/>
      <c r="C261" s="178"/>
      <c r="D261" s="194"/>
      <c r="F261" s="20" t="str">
        <f>Loomakasvatus!B410</f>
        <v>Kasutatud elektrienergia liik 1</v>
      </c>
      <c r="G261">
        <f>Loomakasvatus!C410</f>
        <v>0</v>
      </c>
      <c r="H261">
        <f>Loomakasvatus!D410</f>
        <v>0</v>
      </c>
      <c r="I261">
        <f>IFERROR(VLOOKUP(G261,EFid!$A$3:$D$31,2,FALSE),0)</f>
        <v>0</v>
      </c>
      <c r="J261">
        <f t="shared" si="135"/>
        <v>0</v>
      </c>
      <c r="K261" s="445">
        <f>SUM(J261:J262)</f>
        <v>0</v>
      </c>
      <c r="M261" s="193" t="s">
        <v>888</v>
      </c>
      <c r="N261" s="178"/>
      <c r="O261" s="178"/>
      <c r="P261" s="194"/>
      <c r="R261" s="20" t="str">
        <f>Loomakasvatus!I410</f>
        <v>Kasutatud elektrienergia liik 1</v>
      </c>
      <c r="S261">
        <f>Loomakasvatus!J410</f>
        <v>0</v>
      </c>
      <c r="T261">
        <f>Loomakasvatus!K410</f>
        <v>0</v>
      </c>
      <c r="U261">
        <f>IFERROR(VLOOKUP(S261,EFid!$A$3:$D$31,2,FALSE),0)</f>
        <v>0</v>
      </c>
      <c r="V261">
        <f t="shared" si="136"/>
        <v>0</v>
      </c>
      <c r="W261" s="445">
        <f>SUM(V261:V262)</f>
        <v>0</v>
      </c>
      <c r="Z261" s="193" t="s">
        <v>888</v>
      </c>
      <c r="AA261" s="178"/>
      <c r="AB261" s="178"/>
      <c r="AC261" s="194"/>
      <c r="AE261" s="20" t="str">
        <f>Loomakasvatus!N410</f>
        <v>Kasutatud elektrienergia liik 1</v>
      </c>
      <c r="AF261">
        <f>Loomakasvatus!O410</f>
        <v>0</v>
      </c>
      <c r="AG261">
        <f>Loomakasvatus!P410</f>
        <v>0</v>
      </c>
      <c r="AH261">
        <f>IFERROR(VLOOKUP(AF261,EFid!$A$3:$D$31,2,FALSE),0)</f>
        <v>0</v>
      </c>
      <c r="AI261">
        <f t="shared" si="137"/>
        <v>0</v>
      </c>
      <c r="AJ261" s="445">
        <f>SUM(AI261:AI262)</f>
        <v>0</v>
      </c>
    </row>
    <row r="262" spans="1:36">
      <c r="A262" s="188" t="s">
        <v>889</v>
      </c>
      <c r="B262" s="189"/>
      <c r="C262" s="189"/>
      <c r="D262" s="190"/>
      <c r="F262" s="20" t="str">
        <f>Loomakasvatus!B411</f>
        <v>Kasutatud elektrienergia liik 2</v>
      </c>
      <c r="G262">
        <f>Loomakasvatus!C411</f>
        <v>0</v>
      </c>
      <c r="H262">
        <f>Loomakasvatus!D411</f>
        <v>0</v>
      </c>
      <c r="I262">
        <f>IFERROR(VLOOKUP(G262,EFid!$A$3:$D$31,2,FALSE),0)</f>
        <v>0</v>
      </c>
      <c r="J262">
        <f t="shared" si="135"/>
        <v>0</v>
      </c>
      <c r="K262" s="21"/>
      <c r="M262" s="188" t="s">
        <v>889</v>
      </c>
      <c r="N262" s="189"/>
      <c r="O262" s="189"/>
      <c r="P262" s="190"/>
      <c r="R262" s="20" t="str">
        <f>Loomakasvatus!I411</f>
        <v>Kasutatud elektrienergia liik 2</v>
      </c>
      <c r="S262">
        <f>Loomakasvatus!J411</f>
        <v>0</v>
      </c>
      <c r="T262">
        <f>Loomakasvatus!K411</f>
        <v>0</v>
      </c>
      <c r="U262">
        <f>IFERROR(VLOOKUP(S262,EFid!$A$3:$D$31,2,FALSE),0)</f>
        <v>0</v>
      </c>
      <c r="V262">
        <f t="shared" si="136"/>
        <v>0</v>
      </c>
      <c r="W262" s="21"/>
      <c r="Z262" s="188" t="s">
        <v>889</v>
      </c>
      <c r="AA262" s="189"/>
      <c r="AB262" s="189"/>
      <c r="AC262" s="190"/>
      <c r="AE262" s="20" t="str">
        <f>Loomakasvatus!N411</f>
        <v>Kasutatud elektrienergia liik 2</v>
      </c>
      <c r="AF262">
        <f>Loomakasvatus!O411</f>
        <v>0</v>
      </c>
      <c r="AG262">
        <f>Loomakasvatus!P411</f>
        <v>0</v>
      </c>
      <c r="AH262">
        <f>IFERROR(VLOOKUP(AF262,EFid!$A$3:$D$31,2,FALSE),0)</f>
        <v>0</v>
      </c>
      <c r="AI262">
        <f t="shared" si="137"/>
        <v>0</v>
      </c>
      <c r="AJ262" s="21"/>
    </row>
    <row r="263" spans="1:36">
      <c r="A263" s="20" t="s">
        <v>890</v>
      </c>
      <c r="B263" t="s">
        <v>891</v>
      </c>
      <c r="D263" s="187">
        <f>D264*D265/1000*365</f>
        <v>0</v>
      </c>
      <c r="F263" s="80" t="s">
        <v>534</v>
      </c>
      <c r="J263">
        <f t="shared" si="135"/>
        <v>0</v>
      </c>
      <c r="K263" s="21"/>
      <c r="M263" s="20" t="s">
        <v>890</v>
      </c>
      <c r="N263" t="s">
        <v>891</v>
      </c>
      <c r="P263" s="187">
        <f>P264*P265/1000*365</f>
        <v>0</v>
      </c>
      <c r="R263" s="80" t="s">
        <v>534</v>
      </c>
      <c r="V263">
        <f t="shared" si="136"/>
        <v>0</v>
      </c>
      <c r="W263" s="21"/>
      <c r="Z263" s="20" t="s">
        <v>890</v>
      </c>
      <c r="AA263" t="s">
        <v>891</v>
      </c>
      <c r="AC263" s="187">
        <f>AC264*AC265/1000*365</f>
        <v>0</v>
      </c>
      <c r="AE263" s="80" t="s">
        <v>534</v>
      </c>
      <c r="AI263">
        <f t="shared" si="137"/>
        <v>0</v>
      </c>
      <c r="AJ263" s="21"/>
    </row>
    <row r="264" spans="1:36">
      <c r="A264" s="92" t="s">
        <v>892</v>
      </c>
      <c r="B264" t="s">
        <v>893</v>
      </c>
      <c r="D264" s="187">
        <f>'M1 - LK'!$Q$28</f>
        <v>0.85</v>
      </c>
      <c r="F264" s="20">
        <f>Loomakasvatus!B417</f>
        <v>0</v>
      </c>
      <c r="G264">
        <f>Loomakasvatus!C417</f>
        <v>0</v>
      </c>
      <c r="H264">
        <f>Loomakasvatus!D417/1000</f>
        <v>0</v>
      </c>
      <c r="I264" t="e">
        <f>(INDEX('M1 - LK'!$A$301:$AC$369,MATCH(Loomakasvatus!C417,'M1 - LK'!$A$301:$A$369,0),MATCH(Loomakasvatus!B417,'M1 - LK'!$A$301:$AC$301,0)))</f>
        <v>#N/A</v>
      </c>
      <c r="J264">
        <f t="shared" ref="J264:J277" si="138">IFERROR(I264*H264,0)</f>
        <v>0</v>
      </c>
      <c r="K264" s="445">
        <f>SUM(J264:J277)*1000+SUM(J289:J301)+SUM(J303:J306)</f>
        <v>0</v>
      </c>
      <c r="M264" s="92" t="s">
        <v>892</v>
      </c>
      <c r="N264" t="s">
        <v>893</v>
      </c>
      <c r="P264" s="187">
        <f>'M1 - LK'!$Q$28</f>
        <v>0.85</v>
      </c>
      <c r="R264" s="20">
        <f>Loomakasvatus!I417</f>
        <v>0</v>
      </c>
      <c r="S264">
        <f>Loomakasvatus!J417</f>
        <v>0</v>
      </c>
      <c r="T264">
        <f>Loomakasvatus!K417/1000</f>
        <v>0</v>
      </c>
      <c r="U264" t="e">
        <f>INDEX('M1 - LK'!$A$301:$AC$369,MATCH(Loomakasvatus!J417,'M1 - LK'!$A$301:$A$369,0),MATCH(Loomakasvatus!I417,'M1 - LK'!$A$301:$AC$301,0))</f>
        <v>#N/A</v>
      </c>
      <c r="V264">
        <f t="shared" ref="V264:V277" si="139">IFERROR(U264*T264,0)</f>
        <v>0</v>
      </c>
      <c r="W264" s="445">
        <f>SUM(V264:V277)*1000+SUM(V289:V301)+SUM(V303:V306)</f>
        <v>0</v>
      </c>
      <c r="Z264" s="92" t="s">
        <v>892</v>
      </c>
      <c r="AA264" t="s">
        <v>893</v>
      </c>
      <c r="AC264" s="187">
        <f>'M1 - LK'!$Q$28</f>
        <v>0.85</v>
      </c>
      <c r="AE264" s="20">
        <f>Loomakasvatus!N417</f>
        <v>0</v>
      </c>
      <c r="AF264">
        <f>Loomakasvatus!O417</f>
        <v>0</v>
      </c>
      <c r="AG264">
        <f>Loomakasvatus!P417/1000</f>
        <v>0</v>
      </c>
      <c r="AH264" t="e">
        <f>INDEX('M1 - LK'!$A$301:$AC$369,MATCH(Loomakasvatus!O417,'M1 - LK'!$A$301:$A$369,0),MATCH(Loomakasvatus!N417,'M1 - LK'!$A$301:$AC$301,0))</f>
        <v>#N/A</v>
      </c>
      <c r="AI264">
        <f t="shared" ref="AI264:AI277" si="140">IFERROR(AH264*AG264,0)</f>
        <v>0</v>
      </c>
      <c r="AJ264" s="445">
        <f>SUM(AI264:AI277)*1000+SUM(AI289:AI301)+SUM(AI303:AI306)</f>
        <v>0</v>
      </c>
    </row>
    <row r="265" spans="1:36" ht="15" thickBot="1">
      <c r="A265" s="182" t="s">
        <v>894</v>
      </c>
      <c r="B265" s="87" t="s">
        <v>895</v>
      </c>
      <c r="C265" s="8"/>
      <c r="D265" s="185">
        <f>IFERROR(Loomakasvatus!D401/Loomakasvatus!D400,0)</f>
        <v>0</v>
      </c>
      <c r="F265" s="20">
        <f>Loomakasvatus!B418</f>
        <v>0</v>
      </c>
      <c r="G265">
        <f>Loomakasvatus!C418</f>
        <v>0</v>
      </c>
      <c r="H265">
        <f>Loomakasvatus!D418/1000</f>
        <v>0</v>
      </c>
      <c r="I265" t="e">
        <f>(INDEX('M1 - LK'!$A$301:$AC$369,MATCH(Loomakasvatus!C418,'M1 - LK'!$A$301:$A$369,0),MATCH(Loomakasvatus!B418,'M1 - LK'!$A$301:$AC$301,0)))</f>
        <v>#N/A</v>
      </c>
      <c r="J265">
        <f t="shared" si="138"/>
        <v>0</v>
      </c>
      <c r="K265" s="21"/>
      <c r="M265" s="182" t="s">
        <v>894</v>
      </c>
      <c r="N265" s="87" t="s">
        <v>895</v>
      </c>
      <c r="O265" s="8"/>
      <c r="P265" s="185">
        <f>IFERROR(Loomakasvatus!K401/Loomakasvatus!K400,0)</f>
        <v>0</v>
      </c>
      <c r="R265" s="20">
        <f>Loomakasvatus!I418</f>
        <v>0</v>
      </c>
      <c r="S265">
        <f>Loomakasvatus!J418</f>
        <v>0</v>
      </c>
      <c r="T265">
        <f>Loomakasvatus!K418/1000</f>
        <v>0</v>
      </c>
      <c r="U265" t="e">
        <f>INDEX('M1 - LK'!$A$301:$AC$369,MATCH(Loomakasvatus!J418,'M1 - LK'!$A$301:$A$369,0),MATCH(Loomakasvatus!I418,'M1 - LK'!$A$301:$AC$301,0))</f>
        <v>#N/A</v>
      </c>
      <c r="V265">
        <f t="shared" si="139"/>
        <v>0</v>
      </c>
      <c r="W265" s="21"/>
      <c r="Z265" s="182" t="s">
        <v>894</v>
      </c>
      <c r="AA265" s="87" t="s">
        <v>895</v>
      </c>
      <c r="AB265" s="8"/>
      <c r="AC265" s="185">
        <f>IFERROR(Loomakasvatus!P401/Loomakasvatus!P400,0)</f>
        <v>0</v>
      </c>
      <c r="AE265" s="20">
        <f>Loomakasvatus!N418</f>
        <v>0</v>
      </c>
      <c r="AF265">
        <f>Loomakasvatus!O418</f>
        <v>0</v>
      </c>
      <c r="AG265">
        <f>Loomakasvatus!P418/1000</f>
        <v>0</v>
      </c>
      <c r="AH265" t="e">
        <f>INDEX('M1 - LK'!$A$301:$AC$369,MATCH(Loomakasvatus!O418,'M1 - LK'!$A$301:$A$369,0),MATCH(Loomakasvatus!N418,'M1 - LK'!$A$301:$AC$301,0))</f>
        <v>#N/A</v>
      </c>
      <c r="AI265">
        <f t="shared" si="140"/>
        <v>0</v>
      </c>
      <c r="AJ265" s="21"/>
    </row>
    <row r="266" spans="1:36">
      <c r="A266" s="193" t="s">
        <v>896</v>
      </c>
      <c r="B266" s="178"/>
      <c r="C266" s="178"/>
      <c r="D266" s="194"/>
      <c r="F266" s="20">
        <f>Loomakasvatus!B419</f>
        <v>0</v>
      </c>
      <c r="G266">
        <f>Loomakasvatus!C419</f>
        <v>0</v>
      </c>
      <c r="H266">
        <f>Loomakasvatus!D419/1000</f>
        <v>0</v>
      </c>
      <c r="I266" t="e">
        <f>(INDEX('M1 - LK'!$A$301:$AC$369,MATCH(Loomakasvatus!C419,'M1 - LK'!$A$301:$A$369,0),MATCH(Loomakasvatus!B419,'M1 - LK'!$A$301:$AC$301,0)))</f>
        <v>#N/A</v>
      </c>
      <c r="J266">
        <f t="shared" si="138"/>
        <v>0</v>
      </c>
      <c r="K266" s="21"/>
      <c r="M266" s="193" t="s">
        <v>896</v>
      </c>
      <c r="N266" s="178"/>
      <c r="O266" s="178"/>
      <c r="P266" s="194"/>
      <c r="R266" s="20">
        <f>Loomakasvatus!I419</f>
        <v>0</v>
      </c>
      <c r="S266">
        <f>Loomakasvatus!J419</f>
        <v>0</v>
      </c>
      <c r="T266">
        <f>Loomakasvatus!K419/1000</f>
        <v>0</v>
      </c>
      <c r="U266" t="e">
        <f>INDEX('M1 - LK'!$A$301:$AC$369,MATCH(Loomakasvatus!J419,'M1 - LK'!$A$301:$A$369,0),MATCH(Loomakasvatus!I419,'M1 - LK'!$A$301:$AC$301,0))</f>
        <v>#N/A</v>
      </c>
      <c r="V266">
        <f t="shared" si="139"/>
        <v>0</v>
      </c>
      <c r="W266" s="21"/>
      <c r="Z266" s="193" t="s">
        <v>896</v>
      </c>
      <c r="AA266" s="178"/>
      <c r="AB266" s="178"/>
      <c r="AC266" s="194"/>
      <c r="AE266" s="20">
        <f>Loomakasvatus!N419</f>
        <v>0</v>
      </c>
      <c r="AF266">
        <f>Loomakasvatus!O419</f>
        <v>0</v>
      </c>
      <c r="AG266">
        <f>Loomakasvatus!P419/1000</f>
        <v>0</v>
      </c>
      <c r="AH266" t="e">
        <f>INDEX('M1 - LK'!$A$301:$AC$369,MATCH(Loomakasvatus!O419,'M1 - LK'!$A$301:$A$369,0),MATCH(Loomakasvatus!N419,'M1 - LK'!$A$301:$AC$301,0))</f>
        <v>#N/A</v>
      </c>
      <c r="AI266">
        <f t="shared" si="140"/>
        <v>0</v>
      </c>
      <c r="AJ266" s="21"/>
    </row>
    <row r="267" spans="1:36">
      <c r="A267" s="188" t="s">
        <v>897</v>
      </c>
      <c r="B267" s="189"/>
      <c r="C267" s="189"/>
      <c r="D267" s="190"/>
      <c r="F267" s="20">
        <f>Loomakasvatus!B420</f>
        <v>0</v>
      </c>
      <c r="G267">
        <f>Loomakasvatus!C420</f>
        <v>0</v>
      </c>
      <c r="H267">
        <f>Loomakasvatus!D420/1000</f>
        <v>0</v>
      </c>
      <c r="I267" t="e">
        <f>(INDEX('M1 - LK'!$A$301:$AC$369,MATCH(Loomakasvatus!C420,'M1 - LK'!$A$301:$A$369,0),MATCH(Loomakasvatus!B420,'M1 - LK'!$A$301:$AC$301,0)))</f>
        <v>#N/A</v>
      </c>
      <c r="J267">
        <f t="shared" si="138"/>
        <v>0</v>
      </c>
      <c r="K267" s="21"/>
      <c r="M267" s="188" t="s">
        <v>897</v>
      </c>
      <c r="N267" s="189"/>
      <c r="O267" s="189"/>
      <c r="P267" s="190"/>
      <c r="R267" s="20">
        <f>Loomakasvatus!I420</f>
        <v>0</v>
      </c>
      <c r="S267">
        <f>Loomakasvatus!J420</f>
        <v>0</v>
      </c>
      <c r="T267">
        <f>Loomakasvatus!K420/1000</f>
        <v>0</v>
      </c>
      <c r="U267" t="e">
        <f>INDEX('M1 - LK'!$A$301:$AC$369,MATCH(Loomakasvatus!J420,'M1 - LK'!$A$301:$A$369,0),MATCH(Loomakasvatus!I420,'M1 - LK'!$A$301:$AC$301,0))</f>
        <v>#N/A</v>
      </c>
      <c r="V267">
        <f t="shared" si="139"/>
        <v>0</v>
      </c>
      <c r="W267" s="21"/>
      <c r="Z267" s="188" t="s">
        <v>897</v>
      </c>
      <c r="AA267" s="189"/>
      <c r="AB267" s="189"/>
      <c r="AC267" s="190"/>
      <c r="AE267" s="20">
        <f>Loomakasvatus!N420</f>
        <v>0</v>
      </c>
      <c r="AF267">
        <f>Loomakasvatus!O420</f>
        <v>0</v>
      </c>
      <c r="AG267">
        <f>Loomakasvatus!P420/1000</f>
        <v>0</v>
      </c>
      <c r="AH267" t="e">
        <f>INDEX('M1 - LK'!$A$301:$AC$369,MATCH(Loomakasvatus!O420,'M1 - LK'!$A$301:$A$369,0),MATCH(Loomakasvatus!N420,'M1 - LK'!$A$301:$AC$301,0))</f>
        <v>#N/A</v>
      </c>
      <c r="AI267">
        <f t="shared" si="140"/>
        <v>0</v>
      </c>
      <c r="AJ267" s="21"/>
    </row>
    <row r="268" spans="1:36">
      <c r="A268" s="20" t="s">
        <v>898</v>
      </c>
      <c r="B268" t="s">
        <v>899</v>
      </c>
      <c r="D268" s="187" t="e">
        <f>D269*D270*D271*D272*(44/28)</f>
        <v>#N/A</v>
      </c>
      <c r="F268" s="20">
        <f>Loomakasvatus!B421</f>
        <v>0</v>
      </c>
      <c r="G268">
        <f>Loomakasvatus!C421</f>
        <v>0</v>
      </c>
      <c r="H268">
        <f>Loomakasvatus!D421/1000</f>
        <v>0</v>
      </c>
      <c r="I268" t="e">
        <f>(INDEX('M1 - LK'!$A$301:$AC$369,MATCH(Loomakasvatus!C421,'M1 - LK'!$A$301:$A$369,0),MATCH(Loomakasvatus!B421,'M1 - LK'!$A$301:$AC$301,0)))</f>
        <v>#N/A</v>
      </c>
      <c r="J268">
        <f t="shared" si="138"/>
        <v>0</v>
      </c>
      <c r="K268" s="21"/>
      <c r="M268" s="20" t="s">
        <v>898</v>
      </c>
      <c r="N268" t="s">
        <v>899</v>
      </c>
      <c r="P268" s="187" t="e">
        <f>P269*P270*P271*P272*(44/28)</f>
        <v>#N/A</v>
      </c>
      <c r="R268" s="20">
        <f>Loomakasvatus!I421</f>
        <v>0</v>
      </c>
      <c r="S268">
        <f>Loomakasvatus!J421</f>
        <v>0</v>
      </c>
      <c r="T268">
        <f>Loomakasvatus!K421/1000</f>
        <v>0</v>
      </c>
      <c r="U268" t="e">
        <f>INDEX('M1 - LK'!$A$301:$AC$369,MATCH(Loomakasvatus!J421,'M1 - LK'!$A$301:$A$369,0),MATCH(Loomakasvatus!I421,'M1 - LK'!$A$301:$AC$301,0))</f>
        <v>#N/A</v>
      </c>
      <c r="V268">
        <f t="shared" si="139"/>
        <v>0</v>
      </c>
      <c r="W268" s="21"/>
      <c r="Z268" s="20" t="s">
        <v>898</v>
      </c>
      <c r="AA268" t="s">
        <v>899</v>
      </c>
      <c r="AC268" s="187" t="e">
        <f>AC269*AC270*AC271*AC272*(44/28)</f>
        <v>#N/A</v>
      </c>
      <c r="AE268" s="20">
        <f>Loomakasvatus!N421</f>
        <v>0</v>
      </c>
      <c r="AF268">
        <f>Loomakasvatus!O421</f>
        <v>0</v>
      </c>
      <c r="AG268">
        <f>Loomakasvatus!P421/1000</f>
        <v>0</v>
      </c>
      <c r="AH268" t="e">
        <f>INDEX('M1 - LK'!$A$301:$AC$369,MATCH(Loomakasvatus!O421,'M1 - LK'!$A$301:$A$369,0),MATCH(Loomakasvatus!N421,'M1 - LK'!$A$301:$AC$301,0))</f>
        <v>#N/A</v>
      </c>
      <c r="AI268">
        <f t="shared" si="140"/>
        <v>0</v>
      </c>
      <c r="AJ268" s="21"/>
    </row>
    <row r="269" spans="1:36">
      <c r="A269" s="32" t="s">
        <v>880</v>
      </c>
      <c r="B269" s="33" t="s">
        <v>900</v>
      </c>
      <c r="D269" s="131">
        <f>D255</f>
        <v>0</v>
      </c>
      <c r="F269" s="20">
        <f>Loomakasvatus!B422</f>
        <v>0</v>
      </c>
      <c r="G269">
        <f>Loomakasvatus!C422</f>
        <v>0</v>
      </c>
      <c r="H269">
        <f>Loomakasvatus!D422/1000</f>
        <v>0</v>
      </c>
      <c r="I269" t="e">
        <f>(INDEX('M1 - LK'!$A$301:$AC$369,MATCH(Loomakasvatus!C422,'M1 - LK'!$A$301:$A$369,0),MATCH(Loomakasvatus!B422,'M1 - LK'!$A$301:$AC$301,0)))</f>
        <v>#N/A</v>
      </c>
      <c r="J269">
        <f t="shared" si="138"/>
        <v>0</v>
      </c>
      <c r="K269" s="21"/>
      <c r="M269" s="32" t="s">
        <v>880</v>
      </c>
      <c r="N269" s="33" t="s">
        <v>900</v>
      </c>
      <c r="P269" s="131">
        <f>P255</f>
        <v>0</v>
      </c>
      <c r="R269" s="20">
        <f>Loomakasvatus!I422</f>
        <v>0</v>
      </c>
      <c r="S269">
        <f>Loomakasvatus!J422</f>
        <v>0</v>
      </c>
      <c r="T269">
        <f>Loomakasvatus!K422/1000</f>
        <v>0</v>
      </c>
      <c r="U269" t="e">
        <f>INDEX('M1 - LK'!$A$301:$AC$369,MATCH(Loomakasvatus!J422,'M1 - LK'!$A$301:$A$369,0),MATCH(Loomakasvatus!I422,'M1 - LK'!$A$301:$AC$301,0))</f>
        <v>#N/A</v>
      </c>
      <c r="V269">
        <f t="shared" si="139"/>
        <v>0</v>
      </c>
      <c r="W269" s="21"/>
      <c r="Z269" s="32" t="s">
        <v>880</v>
      </c>
      <c r="AA269" s="33" t="s">
        <v>900</v>
      </c>
      <c r="AC269" s="131">
        <f>AC255</f>
        <v>0</v>
      </c>
      <c r="AE269" s="20">
        <f>Loomakasvatus!N422</f>
        <v>0</v>
      </c>
      <c r="AF269">
        <f>Loomakasvatus!O422</f>
        <v>0</v>
      </c>
      <c r="AG269">
        <f>Loomakasvatus!P422/1000</f>
        <v>0</v>
      </c>
      <c r="AH269" t="e">
        <f>INDEX('M1 - LK'!$A$301:$AC$369,MATCH(Loomakasvatus!O422,'M1 - LK'!$A$301:$A$369,0),MATCH(Loomakasvatus!N422,'M1 - LK'!$A$301:$AC$301,0))</f>
        <v>#N/A</v>
      </c>
      <c r="AI269">
        <f t="shared" si="140"/>
        <v>0</v>
      </c>
      <c r="AJ269" s="21"/>
    </row>
    <row r="270" spans="1:36">
      <c r="A270" s="92" t="s">
        <v>890</v>
      </c>
      <c r="B270" t="s">
        <v>901</v>
      </c>
      <c r="D270" s="187">
        <f>D263</f>
        <v>0</v>
      </c>
      <c r="F270" s="20">
        <f>Loomakasvatus!B423</f>
        <v>0</v>
      </c>
      <c r="G270">
        <f>Loomakasvatus!C423</f>
        <v>0</v>
      </c>
      <c r="H270">
        <f>Loomakasvatus!D423/1000</f>
        <v>0</v>
      </c>
      <c r="I270" t="e">
        <f>(INDEX('M1 - LK'!$A$301:$AC$369,MATCH(Loomakasvatus!C423,'M1 - LK'!$A$301:$A$369,0),MATCH(Loomakasvatus!B423,'M1 - LK'!$A$301:$AC$301,0)))</f>
        <v>#N/A</v>
      </c>
      <c r="J270">
        <f t="shared" si="138"/>
        <v>0</v>
      </c>
      <c r="K270" s="21"/>
      <c r="M270" s="92" t="s">
        <v>890</v>
      </c>
      <c r="N270" t="s">
        <v>901</v>
      </c>
      <c r="P270" s="187">
        <f>P263</f>
        <v>0</v>
      </c>
      <c r="R270" s="20">
        <f>Loomakasvatus!I423</f>
        <v>0</v>
      </c>
      <c r="S270">
        <f>Loomakasvatus!J423</f>
        <v>0</v>
      </c>
      <c r="T270">
        <f>Loomakasvatus!K423/1000</f>
        <v>0</v>
      </c>
      <c r="U270" t="e">
        <f>INDEX('M1 - LK'!$A$301:$AC$369,MATCH(Loomakasvatus!J423,'M1 - LK'!$A$301:$A$369,0),MATCH(Loomakasvatus!I423,'M1 - LK'!$A$301:$AC$301,0))</f>
        <v>#N/A</v>
      </c>
      <c r="V270">
        <f t="shared" si="139"/>
        <v>0</v>
      </c>
      <c r="W270" s="21"/>
      <c r="Z270" s="92" t="s">
        <v>890</v>
      </c>
      <c r="AA270" t="s">
        <v>901</v>
      </c>
      <c r="AC270" s="187">
        <f>AC263</f>
        <v>0</v>
      </c>
      <c r="AE270" s="20">
        <f>Loomakasvatus!N423</f>
        <v>0</v>
      </c>
      <c r="AF270">
        <f>Loomakasvatus!O423</f>
        <v>0</v>
      </c>
      <c r="AG270">
        <f>Loomakasvatus!P423/1000</f>
        <v>0</v>
      </c>
      <c r="AH270" t="e">
        <f>INDEX('M1 - LK'!$A$301:$AC$369,MATCH(Loomakasvatus!O423,'M1 - LK'!$A$301:$A$369,0),MATCH(Loomakasvatus!N423,'M1 - LK'!$A$301:$AC$301,0))</f>
        <v>#N/A</v>
      </c>
      <c r="AI270">
        <f t="shared" si="140"/>
        <v>0</v>
      </c>
      <c r="AJ270" s="21"/>
    </row>
    <row r="271" spans="1:36">
      <c r="A271" s="32" t="s">
        <v>902</v>
      </c>
      <c r="B271" s="33" t="s">
        <v>903</v>
      </c>
      <c r="D271" s="131">
        <f>1-D285</f>
        <v>1</v>
      </c>
      <c r="F271" s="20">
        <f>Loomakasvatus!B424</f>
        <v>0</v>
      </c>
      <c r="G271">
        <f>Loomakasvatus!C424</f>
        <v>0</v>
      </c>
      <c r="H271">
        <f>Loomakasvatus!D424/1000</f>
        <v>0</v>
      </c>
      <c r="I271" t="e">
        <f>(INDEX('M1 - LK'!$A$301:$AC$369,MATCH(Loomakasvatus!C424,'M1 - LK'!$A$301:$A$369,0),MATCH(Loomakasvatus!B424,'M1 - LK'!$A$301:$AC$301,0)))</f>
        <v>#N/A</v>
      </c>
      <c r="J271">
        <f t="shared" si="138"/>
        <v>0</v>
      </c>
      <c r="K271" s="21"/>
      <c r="M271" s="32" t="s">
        <v>902</v>
      </c>
      <c r="N271" s="33" t="s">
        <v>903</v>
      </c>
      <c r="P271" s="131">
        <f>1-P285</f>
        <v>1</v>
      </c>
      <c r="R271" s="20">
        <f>Loomakasvatus!I424</f>
        <v>0</v>
      </c>
      <c r="S271">
        <f>Loomakasvatus!J424</f>
        <v>0</v>
      </c>
      <c r="T271">
        <f>Loomakasvatus!K424/1000</f>
        <v>0</v>
      </c>
      <c r="U271" t="e">
        <f>INDEX('M1 - LK'!$A$301:$AC$369,MATCH(Loomakasvatus!J424,'M1 - LK'!$A$301:$A$369,0),MATCH(Loomakasvatus!I424,'M1 - LK'!$A$301:$AC$301,0))</f>
        <v>#N/A</v>
      </c>
      <c r="V271">
        <f t="shared" si="139"/>
        <v>0</v>
      </c>
      <c r="W271" s="21"/>
      <c r="Z271" s="32" t="s">
        <v>902</v>
      </c>
      <c r="AA271" s="33" t="s">
        <v>903</v>
      </c>
      <c r="AC271" s="131">
        <f>1-AC285</f>
        <v>1</v>
      </c>
      <c r="AE271" s="20">
        <f>Loomakasvatus!N424</f>
        <v>0</v>
      </c>
      <c r="AF271">
        <f>Loomakasvatus!O424</f>
        <v>0</v>
      </c>
      <c r="AG271">
        <f>Loomakasvatus!P424/1000</f>
        <v>0</v>
      </c>
      <c r="AH271" t="e">
        <f>INDEX('M1 - LK'!$A$301:$AC$369,MATCH(Loomakasvatus!O424,'M1 - LK'!$A$301:$A$369,0),MATCH(Loomakasvatus!N424,'M1 - LK'!$A$301:$AC$301,0))</f>
        <v>#N/A</v>
      </c>
      <c r="AI271">
        <f t="shared" si="140"/>
        <v>0</v>
      </c>
      <c r="AJ271" s="21"/>
    </row>
    <row r="272" spans="1:36">
      <c r="A272" s="92" t="s">
        <v>904</v>
      </c>
      <c r="B272" t="s">
        <v>905</v>
      </c>
      <c r="D272" s="187" t="e">
        <f>VLOOKUP(Loomakasvatus!$D$403,'M1 - LK'!$O$39:$P$52,2,FALSE)</f>
        <v>#N/A</v>
      </c>
      <c r="F272" s="20">
        <f>Loomakasvatus!B425</f>
        <v>0</v>
      </c>
      <c r="G272">
        <f>Loomakasvatus!C425</f>
        <v>0</v>
      </c>
      <c r="H272">
        <f>Loomakasvatus!D425/1000</f>
        <v>0</v>
      </c>
      <c r="I272" t="e">
        <f>(INDEX('M1 - LK'!$A$301:$AC$369,MATCH(Loomakasvatus!C425,'M1 - LK'!$A$301:$A$369,0),MATCH(Loomakasvatus!B425,'M1 - LK'!$A$301:$AC$301,0)))</f>
        <v>#N/A</v>
      </c>
      <c r="J272">
        <f t="shared" si="138"/>
        <v>0</v>
      </c>
      <c r="K272" s="21"/>
      <c r="M272" s="92" t="s">
        <v>904</v>
      </c>
      <c r="N272" t="s">
        <v>905</v>
      </c>
      <c r="P272" s="187" t="e">
        <f>VLOOKUP(Loomakasvatus!$K$403,'M1 - LK'!$O$39:$P$52,2,FALSE)</f>
        <v>#N/A</v>
      </c>
      <c r="R272" s="20">
        <f>Loomakasvatus!I425</f>
        <v>0</v>
      </c>
      <c r="S272">
        <f>Loomakasvatus!J425</f>
        <v>0</v>
      </c>
      <c r="T272">
        <f>Loomakasvatus!K425/1000</f>
        <v>0</v>
      </c>
      <c r="U272" t="e">
        <f>INDEX('M1 - LK'!$A$301:$AC$369,MATCH(Loomakasvatus!J425,'M1 - LK'!$A$301:$A$369,0),MATCH(Loomakasvatus!I425,'M1 - LK'!$A$301:$AC$301,0))</f>
        <v>#N/A</v>
      </c>
      <c r="V272">
        <f t="shared" si="139"/>
        <v>0</v>
      </c>
      <c r="W272" s="21"/>
      <c r="Z272" s="92" t="s">
        <v>904</v>
      </c>
      <c r="AA272" t="s">
        <v>905</v>
      </c>
      <c r="AC272" s="187" t="e">
        <f>VLOOKUP(Loomakasvatus!$P$403,'M1 - LK'!$O$39:$P$52,2,FALSE)</f>
        <v>#N/A</v>
      </c>
      <c r="AE272" s="20">
        <f>Loomakasvatus!N425</f>
        <v>0</v>
      </c>
      <c r="AF272">
        <f>Loomakasvatus!O425</f>
        <v>0</v>
      </c>
      <c r="AG272">
        <f>Loomakasvatus!P425/1000</f>
        <v>0</v>
      </c>
      <c r="AH272" t="e">
        <f>INDEX('M1 - LK'!$A$301:$AC$369,MATCH(Loomakasvatus!O425,'M1 - LK'!$A$301:$A$369,0),MATCH(Loomakasvatus!N425,'M1 - LK'!$A$301:$AC$301,0))</f>
        <v>#N/A</v>
      </c>
      <c r="AI272">
        <f t="shared" si="140"/>
        <v>0</v>
      </c>
      <c r="AJ272" s="21"/>
    </row>
    <row r="273" spans="1:36">
      <c r="A273" s="32" t="s">
        <v>906</v>
      </c>
      <c r="B273" s="33" t="s">
        <v>907</v>
      </c>
      <c r="D273" s="131" t="e">
        <f>VLOOKUP(Loomakasvatus!$D$403,'M1 - LK'!$O$39:$P$52,2,FALSE)</f>
        <v>#N/A</v>
      </c>
      <c r="F273" s="20">
        <f>Loomakasvatus!B426</f>
        <v>0</v>
      </c>
      <c r="G273">
        <f>Loomakasvatus!C426</f>
        <v>0</v>
      </c>
      <c r="H273">
        <f>Loomakasvatus!D426/1000</f>
        <v>0</v>
      </c>
      <c r="I273" t="e">
        <f>(INDEX('M1 - LK'!$A$301:$AC$369,MATCH(Loomakasvatus!C426,'M1 - LK'!$A$301:$A$369,0),MATCH(Loomakasvatus!B426,'M1 - LK'!$A$301:$AC$301,0)))</f>
        <v>#N/A</v>
      </c>
      <c r="J273">
        <f t="shared" si="138"/>
        <v>0</v>
      </c>
      <c r="K273" s="21"/>
      <c r="M273" s="32" t="s">
        <v>906</v>
      </c>
      <c r="N273" s="33" t="s">
        <v>907</v>
      </c>
      <c r="P273" s="131" t="e">
        <f>VLOOKUP(Loomakasvatus!$K$403,'M1 - LK'!$O$39:$P$52,2,FALSE)</f>
        <v>#N/A</v>
      </c>
      <c r="R273" s="20">
        <f>Loomakasvatus!I426</f>
        <v>0</v>
      </c>
      <c r="S273">
        <f>Loomakasvatus!J426</f>
        <v>0</v>
      </c>
      <c r="T273">
        <f>Loomakasvatus!K426/1000</f>
        <v>0</v>
      </c>
      <c r="U273" t="e">
        <f>INDEX('M1 - LK'!$A$301:$AC$369,MATCH(Loomakasvatus!J426,'M1 - LK'!$A$301:$A$369,0),MATCH(Loomakasvatus!I426,'M1 - LK'!$A$301:$AC$301,0))</f>
        <v>#N/A</v>
      </c>
      <c r="V273">
        <f t="shared" si="139"/>
        <v>0</v>
      </c>
      <c r="W273" s="21"/>
      <c r="Z273" s="32" t="s">
        <v>906</v>
      </c>
      <c r="AA273" s="33" t="s">
        <v>907</v>
      </c>
      <c r="AC273" s="131" t="e">
        <f>VLOOKUP(Loomakasvatus!$P$403,'M1 - LK'!$O$39:$P$52,2,FALSE)</f>
        <v>#N/A</v>
      </c>
      <c r="AE273" s="20">
        <f>Loomakasvatus!N426</f>
        <v>0</v>
      </c>
      <c r="AF273">
        <f>Loomakasvatus!O426</f>
        <v>0</v>
      </c>
      <c r="AG273">
        <f>Loomakasvatus!P426/1000</f>
        <v>0</v>
      </c>
      <c r="AH273" t="e">
        <f>INDEX('M1 - LK'!$A$301:$AC$369,MATCH(Loomakasvatus!O426,'M1 - LK'!$A$301:$A$369,0),MATCH(Loomakasvatus!N426,'M1 - LK'!$A$301:$AC$301,0))</f>
        <v>#N/A</v>
      </c>
      <c r="AI273">
        <f t="shared" si="140"/>
        <v>0</v>
      </c>
      <c r="AJ273" s="21"/>
    </row>
    <row r="274" spans="1:36">
      <c r="A274" s="193" t="s">
        <v>908</v>
      </c>
      <c r="B274" s="178"/>
      <c r="C274" s="178"/>
      <c r="D274" s="194"/>
      <c r="F274" s="20">
        <f>Loomakasvatus!B427</f>
        <v>0</v>
      </c>
      <c r="G274">
        <f>Loomakasvatus!C427</f>
        <v>0</v>
      </c>
      <c r="H274">
        <f>Loomakasvatus!D427/1000</f>
        <v>0</v>
      </c>
      <c r="I274" t="e">
        <f>(INDEX('M1 - LK'!$A$301:$AC$369,MATCH(Loomakasvatus!C427,'M1 - LK'!$A$301:$A$369,0),MATCH(Loomakasvatus!B427,'M1 - LK'!$A$301:$AC$301,0)))</f>
        <v>#N/A</v>
      </c>
      <c r="J274">
        <f t="shared" si="138"/>
        <v>0</v>
      </c>
      <c r="K274" s="21"/>
      <c r="M274" s="193" t="s">
        <v>908</v>
      </c>
      <c r="N274" s="178"/>
      <c r="O274" s="178"/>
      <c r="P274" s="194"/>
      <c r="R274" s="20">
        <f>Loomakasvatus!I427</f>
        <v>0</v>
      </c>
      <c r="S274">
        <f>Loomakasvatus!J427</f>
        <v>0</v>
      </c>
      <c r="T274">
        <f>Loomakasvatus!K427/1000</f>
        <v>0</v>
      </c>
      <c r="U274" t="e">
        <f>INDEX('M1 - LK'!$A$301:$AC$369,MATCH(Loomakasvatus!J427,'M1 - LK'!$A$301:$A$369,0),MATCH(Loomakasvatus!I427,'M1 - LK'!$A$301:$AC$301,0))</f>
        <v>#N/A</v>
      </c>
      <c r="V274">
        <f t="shared" si="139"/>
        <v>0</v>
      </c>
      <c r="W274" s="21"/>
      <c r="Z274" s="193" t="s">
        <v>908</v>
      </c>
      <c r="AA274" s="178"/>
      <c r="AB274" s="178"/>
      <c r="AC274" s="194"/>
      <c r="AE274" s="20">
        <f>Loomakasvatus!N427</f>
        <v>0</v>
      </c>
      <c r="AF274">
        <f>Loomakasvatus!O427</f>
        <v>0</v>
      </c>
      <c r="AG274">
        <f>Loomakasvatus!P427/1000</f>
        <v>0</v>
      </c>
      <c r="AH274" t="e">
        <f>INDEX('M1 - LK'!$A$301:$AC$369,MATCH(Loomakasvatus!O427,'M1 - LK'!$A$301:$A$369,0),MATCH(Loomakasvatus!N427,'M1 - LK'!$A$301:$AC$301,0))</f>
        <v>#N/A</v>
      </c>
      <c r="AI274">
        <f t="shared" si="140"/>
        <v>0</v>
      </c>
      <c r="AJ274" s="21"/>
    </row>
    <row r="275" spans="1:36">
      <c r="A275" s="188" t="s">
        <v>909</v>
      </c>
      <c r="B275" s="189"/>
      <c r="C275" s="189"/>
      <c r="D275" s="190"/>
      <c r="F275" s="20">
        <f>Loomakasvatus!B428</f>
        <v>0</v>
      </c>
      <c r="G275">
        <f>Loomakasvatus!C428</f>
        <v>0</v>
      </c>
      <c r="H275">
        <f>Loomakasvatus!D428/1000</f>
        <v>0</v>
      </c>
      <c r="I275" t="e">
        <f>(INDEX('M1 - LK'!$A$301:$AC$369,MATCH(Loomakasvatus!C428,'M1 - LK'!$A$301:$A$369,0),MATCH(Loomakasvatus!B428,'M1 - LK'!$A$301:$AC$301,0)))</f>
        <v>#N/A</v>
      </c>
      <c r="J275">
        <f t="shared" si="138"/>
        <v>0</v>
      </c>
      <c r="K275" s="21"/>
      <c r="M275" s="188" t="s">
        <v>909</v>
      </c>
      <c r="N275" s="189"/>
      <c r="O275" s="189"/>
      <c r="P275" s="190"/>
      <c r="R275" s="20">
        <f>Loomakasvatus!I428</f>
        <v>0</v>
      </c>
      <c r="S275">
        <f>Loomakasvatus!J428</f>
        <v>0</v>
      </c>
      <c r="T275">
        <f>Loomakasvatus!K428/1000</f>
        <v>0</v>
      </c>
      <c r="U275" t="e">
        <f>INDEX('M1 - LK'!$A$301:$AC$369,MATCH(Loomakasvatus!J428,'M1 - LK'!$A$301:$A$369,0),MATCH(Loomakasvatus!I428,'M1 - LK'!$A$301:$AC$301,0))</f>
        <v>#N/A</v>
      </c>
      <c r="V275">
        <f t="shared" si="139"/>
        <v>0</v>
      </c>
      <c r="W275" s="21"/>
      <c r="Z275" s="188" t="s">
        <v>909</v>
      </c>
      <c r="AA275" s="189"/>
      <c r="AB275" s="189"/>
      <c r="AC275" s="190"/>
      <c r="AE275" s="20">
        <f>Loomakasvatus!N428</f>
        <v>0</v>
      </c>
      <c r="AF275">
        <f>Loomakasvatus!O428</f>
        <v>0</v>
      </c>
      <c r="AG275">
        <f>Loomakasvatus!P428/1000</f>
        <v>0</v>
      </c>
      <c r="AH275" t="e">
        <f>INDEX('M1 - LK'!$A$301:$AC$369,MATCH(Loomakasvatus!O428,'M1 - LK'!$A$301:$A$369,0),MATCH(Loomakasvatus!N428,'M1 - LK'!$A$301:$AC$301,0))</f>
        <v>#N/A</v>
      </c>
      <c r="AI275">
        <f t="shared" si="140"/>
        <v>0</v>
      </c>
      <c r="AJ275" s="21"/>
    </row>
    <row r="276" spans="1:36">
      <c r="A276" s="20" t="s">
        <v>910</v>
      </c>
      <c r="B276" t="s">
        <v>911</v>
      </c>
      <c r="D276" s="187">
        <f>D277*D278*D279*D280/100</f>
        <v>0</v>
      </c>
      <c r="F276" s="20">
        <f>Loomakasvatus!B429</f>
        <v>0</v>
      </c>
      <c r="G276">
        <f>Loomakasvatus!C429</f>
        <v>0</v>
      </c>
      <c r="H276">
        <f>Loomakasvatus!D429/1000</f>
        <v>0</v>
      </c>
      <c r="I276" t="e">
        <f>(INDEX('M1 - LK'!$A$301:$AC$369,MATCH(Loomakasvatus!C429,'M1 - LK'!$A$301:$A$369,0),MATCH(Loomakasvatus!B429,'M1 - LK'!$A$301:$AC$301,0)))</f>
        <v>#N/A</v>
      </c>
      <c r="J276">
        <f t="shared" si="138"/>
        <v>0</v>
      </c>
      <c r="K276" s="21"/>
      <c r="M276" s="20" t="s">
        <v>910</v>
      </c>
      <c r="N276" t="s">
        <v>911</v>
      </c>
      <c r="P276" s="187">
        <f>P277*P278*P279*P280/100</f>
        <v>0</v>
      </c>
      <c r="R276" s="20">
        <f>Loomakasvatus!I429</f>
        <v>0</v>
      </c>
      <c r="S276">
        <f>Loomakasvatus!J429</f>
        <v>0</v>
      </c>
      <c r="T276">
        <f>Loomakasvatus!K429/1000</f>
        <v>0</v>
      </c>
      <c r="U276" t="e">
        <f>INDEX('M1 - LK'!$A$301:$AC$369,MATCH(Loomakasvatus!J429,'M1 - LK'!$A$301:$A$369,0),MATCH(Loomakasvatus!I429,'M1 - LK'!$A$301:$AC$301,0))</f>
        <v>#N/A</v>
      </c>
      <c r="V276">
        <f t="shared" si="139"/>
        <v>0</v>
      </c>
      <c r="W276" s="21"/>
      <c r="Z276" s="20" t="s">
        <v>910</v>
      </c>
      <c r="AA276" t="s">
        <v>911</v>
      </c>
      <c r="AC276" s="187">
        <f>AC277*AC278*AC279*AC280/100</f>
        <v>0</v>
      </c>
      <c r="AE276" s="20">
        <f>Loomakasvatus!N429</f>
        <v>0</v>
      </c>
      <c r="AF276">
        <f>Loomakasvatus!O429</f>
        <v>0</v>
      </c>
      <c r="AG276">
        <f>Loomakasvatus!P429/1000</f>
        <v>0</v>
      </c>
      <c r="AH276" t="e">
        <f>INDEX('M1 - LK'!$A$301:$AC$369,MATCH(Loomakasvatus!O429,'M1 - LK'!$A$301:$A$369,0),MATCH(Loomakasvatus!N429,'M1 - LK'!$A$301:$AC$301,0))</f>
        <v>#N/A</v>
      </c>
      <c r="AI276">
        <f t="shared" si="140"/>
        <v>0</v>
      </c>
      <c r="AJ276" s="21"/>
    </row>
    <row r="277" spans="1:36" ht="15" thickBot="1">
      <c r="A277" s="32" t="s">
        <v>880</v>
      </c>
      <c r="B277" s="33" t="s">
        <v>900</v>
      </c>
      <c r="D277" s="131">
        <f>D269</f>
        <v>0</v>
      </c>
      <c r="F277" s="20">
        <f>Loomakasvatus!B430</f>
        <v>0</v>
      </c>
      <c r="G277">
        <f>Loomakasvatus!C430</f>
        <v>0</v>
      </c>
      <c r="H277">
        <f>Loomakasvatus!D430/1000</f>
        <v>0</v>
      </c>
      <c r="I277" t="e">
        <f>(INDEX('M1 - LK'!$A$301:$AC$369,MATCH(Loomakasvatus!C430,'M1 - LK'!$A$301:$A$369,0),MATCH(Loomakasvatus!B430,'M1 - LK'!$A$301:$AC$301,0)))</f>
        <v>#N/A</v>
      </c>
      <c r="J277">
        <f t="shared" si="138"/>
        <v>0</v>
      </c>
      <c r="K277" s="21"/>
      <c r="M277" s="32" t="s">
        <v>880</v>
      </c>
      <c r="N277" s="33" t="s">
        <v>900</v>
      </c>
      <c r="P277" s="131">
        <f>P269</f>
        <v>0</v>
      </c>
      <c r="R277" s="20">
        <f>Loomakasvatus!I430</f>
        <v>0</v>
      </c>
      <c r="S277">
        <f>Loomakasvatus!J430</f>
        <v>0</v>
      </c>
      <c r="T277">
        <f>Loomakasvatus!K430/1000</f>
        <v>0</v>
      </c>
      <c r="U277" t="e">
        <f>INDEX('M1 - LK'!$A$301:$AC$369,MATCH(Loomakasvatus!J430,'M1 - LK'!$A$301:$A$369,0),MATCH(Loomakasvatus!I430,'M1 - LK'!$A$301:$AC$301,0))</f>
        <v>#N/A</v>
      </c>
      <c r="V277">
        <f t="shared" si="139"/>
        <v>0</v>
      </c>
      <c r="W277" s="21"/>
      <c r="Z277" s="32" t="s">
        <v>880</v>
      </c>
      <c r="AA277" s="33" t="s">
        <v>900</v>
      </c>
      <c r="AC277" s="131">
        <f>AC269</f>
        <v>0</v>
      </c>
      <c r="AE277" s="20">
        <f>Loomakasvatus!N430</f>
        <v>0</v>
      </c>
      <c r="AF277">
        <f>Loomakasvatus!O430</f>
        <v>0</v>
      </c>
      <c r="AG277">
        <f>Loomakasvatus!P430/1000</f>
        <v>0</v>
      </c>
      <c r="AH277" t="e">
        <f>INDEX('M1 - LK'!$A$301:$AC$369,MATCH(Loomakasvatus!O430,'M1 - LK'!$A$301:$A$369,0),MATCH(Loomakasvatus!N430,'M1 - LK'!$A$301:$AC$301,0))</f>
        <v>#N/A</v>
      </c>
      <c r="AI277">
        <f t="shared" si="140"/>
        <v>0</v>
      </c>
      <c r="AJ277" s="21"/>
    </row>
    <row r="278" spans="1:36">
      <c r="A278" s="85" t="s">
        <v>890</v>
      </c>
      <c r="B278" t="s">
        <v>912</v>
      </c>
      <c r="D278" s="187">
        <f>D263</f>
        <v>0</v>
      </c>
      <c r="F278" s="15">
        <f>Loomakasvatus!B431</f>
        <v>0</v>
      </c>
      <c r="G278" s="16" t="str">
        <f>Loomakasvatus!C431</f>
        <v>Isekasvatatud taimne sööt</v>
      </c>
      <c r="H278" s="16" t="str">
        <f>Loomakasvatus!D431</f>
        <v>Kogus (kg)</v>
      </c>
      <c r="I278" s="16"/>
      <c r="J278" s="16"/>
      <c r="K278" s="17"/>
      <c r="M278" s="85" t="s">
        <v>890</v>
      </c>
      <c r="N278" t="s">
        <v>912</v>
      </c>
      <c r="P278" s="187">
        <f>P263</f>
        <v>0</v>
      </c>
      <c r="R278" s="15">
        <f>Loomakasvatus!I431</f>
        <v>0</v>
      </c>
      <c r="S278" s="16" t="str">
        <f>Loomakasvatus!J431</f>
        <v>Isekasvatatud taimne sööt</v>
      </c>
      <c r="T278" s="16" t="str">
        <f>Loomakasvatus!K431</f>
        <v>Kogus (kg)</v>
      </c>
      <c r="U278" s="16"/>
      <c r="V278" s="16"/>
      <c r="W278" s="17"/>
      <c r="Z278" s="85" t="s">
        <v>890</v>
      </c>
      <c r="AA278" t="s">
        <v>912</v>
      </c>
      <c r="AC278" s="187">
        <f>AC263</f>
        <v>0</v>
      </c>
      <c r="AE278" s="15">
        <f>Loomakasvatus!N431</f>
        <v>0</v>
      </c>
      <c r="AF278" s="16" t="str">
        <f>Loomakasvatus!O431</f>
        <v>Isekasvatatud taimne sööt</v>
      </c>
      <c r="AG278" s="16" t="str">
        <f>Loomakasvatus!P431</f>
        <v>Kogus (kg)</v>
      </c>
      <c r="AH278" s="16"/>
      <c r="AI278" s="16"/>
      <c r="AJ278" s="17"/>
    </row>
    <row r="279" spans="1:36">
      <c r="A279" s="32" t="s">
        <v>902</v>
      </c>
      <c r="B279" s="33" t="s">
        <v>903</v>
      </c>
      <c r="D279" s="131">
        <v>1</v>
      </c>
      <c r="F279" s="20">
        <f>Loomakasvatus!B432</f>
        <v>0</v>
      </c>
      <c r="G279">
        <f>Loomakasvatus!C432</f>
        <v>0</v>
      </c>
      <c r="H279">
        <f>Loomakasvatus!D432/1000</f>
        <v>0</v>
      </c>
      <c r="I279">
        <f>IFERROR(VLOOKUP(G279,Ettev_kalk!$CK$55:$CL$82,2,FALSE),0)</f>
        <v>0</v>
      </c>
      <c r="J279">
        <f t="shared" si="135"/>
        <v>0</v>
      </c>
      <c r="K279" s="445">
        <f>SUM(J279:J287)</f>
        <v>0</v>
      </c>
      <c r="M279" s="32" t="s">
        <v>902</v>
      </c>
      <c r="N279" s="33" t="s">
        <v>903</v>
      </c>
      <c r="P279" s="131">
        <v>1</v>
      </c>
      <c r="R279" s="20">
        <f>Loomakasvatus!I432</f>
        <v>0</v>
      </c>
      <c r="S279">
        <f>Loomakasvatus!J432</f>
        <v>0</v>
      </c>
      <c r="T279">
        <f>Loomakasvatus!K432/1000</f>
        <v>0</v>
      </c>
      <c r="U279">
        <f>IFERROR(VLOOKUP(S279,Ettev_kalk!$CK$55:$CL$82,2,FALSE),0)</f>
        <v>0</v>
      </c>
      <c r="V279">
        <f t="shared" ref="V279:V287" si="141">U279*T279</f>
        <v>0</v>
      </c>
      <c r="W279" s="445">
        <f>SUM(V279:V287)</f>
        <v>0</v>
      </c>
      <c r="Z279" s="32" t="s">
        <v>902</v>
      </c>
      <c r="AA279" s="33" t="s">
        <v>903</v>
      </c>
      <c r="AC279" s="131">
        <v>1</v>
      </c>
      <c r="AE279" s="20">
        <f>Loomakasvatus!N432</f>
        <v>0</v>
      </c>
      <c r="AF279">
        <f>Loomakasvatus!O432</f>
        <v>0</v>
      </c>
      <c r="AG279">
        <f>Loomakasvatus!P432/1000</f>
        <v>0</v>
      </c>
      <c r="AH279">
        <f>IFERROR(VLOOKUP(AF279,Ettev_kalk!$CK$55:$CL$82,2,FALSE),0)</f>
        <v>0</v>
      </c>
      <c r="AI279">
        <f t="shared" ref="AI279:AI287" si="142">AH279*AG279</f>
        <v>0</v>
      </c>
      <c r="AJ279" s="445">
        <f>SUM(AI279:AI287)</f>
        <v>0</v>
      </c>
    </row>
    <row r="280" spans="1:36">
      <c r="A280" s="85" t="s">
        <v>913</v>
      </c>
      <c r="B280" t="s">
        <v>914</v>
      </c>
      <c r="D280" s="187">
        <f>'M1 - LK'!$P$62</f>
        <v>25</v>
      </c>
      <c r="F280" s="20">
        <f>Loomakasvatus!B433</f>
        <v>0</v>
      </c>
      <c r="G280">
        <f>Loomakasvatus!C433</f>
        <v>0</v>
      </c>
      <c r="H280">
        <f>Loomakasvatus!D433/1000</f>
        <v>0</v>
      </c>
      <c r="I280">
        <f>IFERROR(VLOOKUP(G280,Ettev_kalk!$CK$55:$CL$82,2,FALSE),0)</f>
        <v>0</v>
      </c>
      <c r="J280">
        <f t="shared" si="135"/>
        <v>0</v>
      </c>
      <c r="K280" s="21"/>
      <c r="M280" s="85" t="s">
        <v>913</v>
      </c>
      <c r="N280" t="s">
        <v>914</v>
      </c>
      <c r="P280" s="187">
        <f>'M1 - LK'!$P$62</f>
        <v>25</v>
      </c>
      <c r="R280" s="20">
        <f>Loomakasvatus!I433</f>
        <v>0</v>
      </c>
      <c r="S280">
        <f>Loomakasvatus!J433</f>
        <v>0</v>
      </c>
      <c r="T280">
        <f>Loomakasvatus!K433/1000</f>
        <v>0</v>
      </c>
      <c r="U280">
        <f>IFERROR(VLOOKUP(S280,Ettev_kalk!$CK$55:$CL$82,2,FALSE),0)</f>
        <v>0</v>
      </c>
      <c r="V280">
        <f t="shared" si="141"/>
        <v>0</v>
      </c>
      <c r="W280" s="21"/>
      <c r="Z280" s="85" t="s">
        <v>913</v>
      </c>
      <c r="AA280" t="s">
        <v>914</v>
      </c>
      <c r="AC280" s="187">
        <f>'M1 - LK'!$P$62</f>
        <v>25</v>
      </c>
      <c r="AE280" s="20">
        <f>Loomakasvatus!N433</f>
        <v>0</v>
      </c>
      <c r="AF280">
        <f>Loomakasvatus!O433</f>
        <v>0</v>
      </c>
      <c r="AG280">
        <f>Loomakasvatus!P433/1000</f>
        <v>0</v>
      </c>
      <c r="AH280">
        <f>IFERROR(VLOOKUP(AF280,Ettev_kalk!$CK$55:$CL$82,2,FALSE),0)</f>
        <v>0</v>
      </c>
      <c r="AI280">
        <f t="shared" si="142"/>
        <v>0</v>
      </c>
      <c r="AJ280" s="21"/>
    </row>
    <row r="281" spans="1:36">
      <c r="A281" s="193" t="s">
        <v>915</v>
      </c>
      <c r="B281" s="178"/>
      <c r="C281" s="178"/>
      <c r="D281" s="194"/>
      <c r="F281" s="20">
        <f>Loomakasvatus!B434</f>
        <v>0</v>
      </c>
      <c r="G281">
        <f>Loomakasvatus!C434</f>
        <v>0</v>
      </c>
      <c r="H281">
        <f>Loomakasvatus!D434/1000</f>
        <v>0</v>
      </c>
      <c r="I281">
        <f>IFERROR(VLOOKUP(G281,Ettev_kalk!$CK$55:$CL$82,2,FALSE),0)</f>
        <v>0</v>
      </c>
      <c r="J281">
        <f t="shared" si="135"/>
        <v>0</v>
      </c>
      <c r="K281" s="21"/>
      <c r="M281" s="193" t="s">
        <v>915</v>
      </c>
      <c r="N281" s="178"/>
      <c r="O281" s="178"/>
      <c r="P281" s="194"/>
      <c r="R281" s="20">
        <f>Loomakasvatus!I434</f>
        <v>0</v>
      </c>
      <c r="S281">
        <f>Loomakasvatus!J434</f>
        <v>0</v>
      </c>
      <c r="T281">
        <f>Loomakasvatus!K434/1000</f>
        <v>0</v>
      </c>
      <c r="U281">
        <f>IFERROR(VLOOKUP(S281,Ettev_kalk!$CK$55:$CL$82,2,FALSE),0)</f>
        <v>0</v>
      </c>
      <c r="V281">
        <f t="shared" si="141"/>
        <v>0</v>
      </c>
      <c r="W281" s="21"/>
      <c r="Z281" s="193" t="s">
        <v>915</v>
      </c>
      <c r="AA281" s="178"/>
      <c r="AB281" s="178"/>
      <c r="AC281" s="194"/>
      <c r="AE281" s="20">
        <f>Loomakasvatus!N434</f>
        <v>0</v>
      </c>
      <c r="AF281">
        <f>Loomakasvatus!O434</f>
        <v>0</v>
      </c>
      <c r="AG281">
        <f>Loomakasvatus!P434/1000</f>
        <v>0</v>
      </c>
      <c r="AH281">
        <f>IFERROR(VLOOKUP(AF281,Ettev_kalk!$CK$55:$CL$82,2,FALSE),0)</f>
        <v>0</v>
      </c>
      <c r="AI281">
        <f t="shared" si="142"/>
        <v>0</v>
      </c>
      <c r="AJ281" s="21"/>
    </row>
    <row r="282" spans="1:36">
      <c r="A282" s="20" t="s">
        <v>916</v>
      </c>
      <c r="B282" t="s">
        <v>917</v>
      </c>
      <c r="D282" s="187">
        <f>D283*D284*(44/28)</f>
        <v>0</v>
      </c>
      <c r="F282" s="20">
        <f>Loomakasvatus!B435</f>
        <v>0</v>
      </c>
      <c r="G282">
        <f>Loomakasvatus!C435</f>
        <v>0</v>
      </c>
      <c r="H282">
        <f>Loomakasvatus!D435/1000</f>
        <v>0</v>
      </c>
      <c r="I282">
        <f>IFERROR(VLOOKUP(G282,Ettev_kalk!$CK$55:$CL$82,2,FALSE),0)</f>
        <v>0</v>
      </c>
      <c r="J282">
        <f t="shared" si="135"/>
        <v>0</v>
      </c>
      <c r="K282" s="21"/>
      <c r="M282" s="20" t="s">
        <v>916</v>
      </c>
      <c r="N282" t="s">
        <v>917</v>
      </c>
      <c r="P282" s="187">
        <f>P283*P284*(44/28)</f>
        <v>0</v>
      </c>
      <c r="R282" s="20">
        <f>Loomakasvatus!I435</f>
        <v>0</v>
      </c>
      <c r="S282">
        <f>Loomakasvatus!J435</f>
        <v>0</v>
      </c>
      <c r="T282">
        <f>Loomakasvatus!K435/1000</f>
        <v>0</v>
      </c>
      <c r="U282">
        <f>IFERROR(VLOOKUP(S282,Ettev_kalk!$CK$55:$CL$82,2,FALSE),0)</f>
        <v>0</v>
      </c>
      <c r="V282">
        <f t="shared" si="141"/>
        <v>0</v>
      </c>
      <c r="W282" s="21"/>
      <c r="Z282" s="20" t="s">
        <v>916</v>
      </c>
      <c r="AA282" t="s">
        <v>917</v>
      </c>
      <c r="AC282" s="187">
        <f>AC283*AC284*(44/28)</f>
        <v>0</v>
      </c>
      <c r="AE282" s="20">
        <f>Loomakasvatus!N435</f>
        <v>0</v>
      </c>
      <c r="AF282">
        <f>Loomakasvatus!O435</f>
        <v>0</v>
      </c>
      <c r="AG282">
        <f>Loomakasvatus!P435/1000</f>
        <v>0</v>
      </c>
      <c r="AH282">
        <f>IFERROR(VLOOKUP(AF282,Ettev_kalk!$CK$55:$CL$82,2,FALSE),0)</f>
        <v>0</v>
      </c>
      <c r="AI282">
        <f t="shared" si="142"/>
        <v>0</v>
      </c>
      <c r="AJ282" s="21"/>
    </row>
    <row r="283" spans="1:36">
      <c r="A283" s="85" t="s">
        <v>910</v>
      </c>
      <c r="B283" t="s">
        <v>911</v>
      </c>
      <c r="D283" s="187">
        <f>D276</f>
        <v>0</v>
      </c>
      <c r="F283" s="20">
        <f>Loomakasvatus!B436</f>
        <v>0</v>
      </c>
      <c r="G283">
        <f>Loomakasvatus!C436</f>
        <v>0</v>
      </c>
      <c r="H283">
        <f>Loomakasvatus!D436/1000</f>
        <v>0</v>
      </c>
      <c r="I283">
        <f>IFERROR(VLOOKUP(G283,Ettev_kalk!$CK$55:$CL$82,2,FALSE),0)</f>
        <v>0</v>
      </c>
      <c r="J283">
        <f t="shared" si="135"/>
        <v>0</v>
      </c>
      <c r="K283" s="21"/>
      <c r="M283" s="85" t="s">
        <v>910</v>
      </c>
      <c r="N283" t="s">
        <v>911</v>
      </c>
      <c r="P283" s="187">
        <f>P276</f>
        <v>0</v>
      </c>
      <c r="R283" s="20">
        <f>Loomakasvatus!I436</f>
        <v>0</v>
      </c>
      <c r="S283">
        <f>Loomakasvatus!J436</f>
        <v>0</v>
      </c>
      <c r="T283">
        <f>Loomakasvatus!K436/1000</f>
        <v>0</v>
      </c>
      <c r="U283">
        <f>IFERROR(VLOOKUP(S283,Ettev_kalk!$CK$55:$CL$82,2,FALSE),0)</f>
        <v>0</v>
      </c>
      <c r="V283">
        <f t="shared" si="141"/>
        <v>0</v>
      </c>
      <c r="W283" s="21"/>
      <c r="Z283" s="85" t="s">
        <v>910</v>
      </c>
      <c r="AA283" t="s">
        <v>911</v>
      </c>
      <c r="AC283" s="187">
        <f>AC276</f>
        <v>0</v>
      </c>
      <c r="AE283" s="20">
        <f>Loomakasvatus!N436</f>
        <v>0</v>
      </c>
      <c r="AF283">
        <f>Loomakasvatus!O436</f>
        <v>0</v>
      </c>
      <c r="AG283">
        <f>Loomakasvatus!P436/1000</f>
        <v>0</v>
      </c>
      <c r="AH283">
        <f>IFERROR(VLOOKUP(AF283,Ettev_kalk!$CK$55:$CL$82,2,FALSE),0)</f>
        <v>0</v>
      </c>
      <c r="AI283">
        <f t="shared" si="142"/>
        <v>0</v>
      </c>
      <c r="AJ283" s="21"/>
    </row>
    <row r="284" spans="1:36" ht="15" thickBot="1">
      <c r="A284" s="58" t="s">
        <v>704</v>
      </c>
      <c r="B284" s="36" t="s">
        <v>918</v>
      </c>
      <c r="C284" s="36"/>
      <c r="D284" s="200">
        <f>'M1 - TK'!$B$20</f>
        <v>0.01</v>
      </c>
      <c r="F284" s="20">
        <f>Loomakasvatus!B437</f>
        <v>0</v>
      </c>
      <c r="G284">
        <f>Loomakasvatus!C437</f>
        <v>0</v>
      </c>
      <c r="H284">
        <f>Loomakasvatus!D437/1000</f>
        <v>0</v>
      </c>
      <c r="I284">
        <f>IFERROR(VLOOKUP(G284,Ettev_kalk!$CK$55:$CL$82,2,FALSE),0)</f>
        <v>0</v>
      </c>
      <c r="J284">
        <f t="shared" si="135"/>
        <v>0</v>
      </c>
      <c r="K284" s="21"/>
      <c r="M284" s="58" t="s">
        <v>704</v>
      </c>
      <c r="N284" s="36" t="s">
        <v>918</v>
      </c>
      <c r="O284" s="36"/>
      <c r="P284" s="200">
        <f>'M1 - TK'!$B$20</f>
        <v>0.01</v>
      </c>
      <c r="R284" s="20">
        <f>Loomakasvatus!I437</f>
        <v>0</v>
      </c>
      <c r="S284">
        <f>Loomakasvatus!J437</f>
        <v>0</v>
      </c>
      <c r="T284">
        <f>Loomakasvatus!K437/1000</f>
        <v>0</v>
      </c>
      <c r="U284">
        <f>IFERROR(VLOOKUP(S284,Ettev_kalk!$CK$55:$CL$82,2,FALSE),0)</f>
        <v>0</v>
      </c>
      <c r="V284">
        <f t="shared" si="141"/>
        <v>0</v>
      </c>
      <c r="W284" s="21"/>
      <c r="Z284" s="58" t="s">
        <v>704</v>
      </c>
      <c r="AA284" s="36" t="s">
        <v>918</v>
      </c>
      <c r="AB284" s="36"/>
      <c r="AC284" s="200">
        <f>'M1 - TK'!$B$20</f>
        <v>0.01</v>
      </c>
      <c r="AE284" s="20">
        <f>Loomakasvatus!N437</f>
        <v>0</v>
      </c>
      <c r="AF284">
        <f>Loomakasvatus!O437</f>
        <v>0</v>
      </c>
      <c r="AG284">
        <f>Loomakasvatus!P437/1000</f>
        <v>0</v>
      </c>
      <c r="AH284">
        <f>IFERROR(VLOOKUP(AF284,Ettev_kalk!$CK$55:$CL$82,2,FALSE),0)</f>
        <v>0</v>
      </c>
      <c r="AI284">
        <f t="shared" si="142"/>
        <v>0</v>
      </c>
      <c r="AJ284" s="21"/>
    </row>
    <row r="285" spans="1:36" ht="15" thickBot="1">
      <c r="A285" s="94" t="s">
        <v>938</v>
      </c>
      <c r="B285" s="53"/>
      <c r="C285" s="53"/>
      <c r="D285" s="441">
        <f>Loomakasvatus!$D$404/365</f>
        <v>0</v>
      </c>
      <c r="F285" s="20">
        <f>Loomakasvatus!B438</f>
        <v>0</v>
      </c>
      <c r="G285">
        <f>Loomakasvatus!C438</f>
        <v>0</v>
      </c>
      <c r="H285">
        <f>Loomakasvatus!D438/1000</f>
        <v>0</v>
      </c>
      <c r="I285">
        <f>IFERROR(VLOOKUP(G285,Ettev_kalk!$CK$55:$CL$82,2,FALSE),0)</f>
        <v>0</v>
      </c>
      <c r="J285">
        <f t="shared" si="135"/>
        <v>0</v>
      </c>
      <c r="K285" s="21"/>
      <c r="M285" s="94" t="s">
        <v>938</v>
      </c>
      <c r="N285" s="53"/>
      <c r="O285" s="53"/>
      <c r="P285" s="441">
        <f>Loomakasvatus!$K$404/365</f>
        <v>0</v>
      </c>
      <c r="R285" s="20">
        <f>Loomakasvatus!I438</f>
        <v>0</v>
      </c>
      <c r="S285">
        <f>Loomakasvatus!J438</f>
        <v>0</v>
      </c>
      <c r="T285">
        <f>Loomakasvatus!K438/1000</f>
        <v>0</v>
      </c>
      <c r="U285">
        <f>IFERROR(VLOOKUP(S285,Ettev_kalk!$CK$55:$CL$82,2,FALSE),0)</f>
        <v>0</v>
      </c>
      <c r="V285">
        <f t="shared" si="141"/>
        <v>0</v>
      </c>
      <c r="W285" s="21"/>
      <c r="Z285" s="94" t="s">
        <v>938</v>
      </c>
      <c r="AA285" s="53"/>
      <c r="AB285" s="53"/>
      <c r="AC285" s="441">
        <f>Loomakasvatus!$P$404/365</f>
        <v>0</v>
      </c>
      <c r="AE285" s="20">
        <f>Loomakasvatus!N438</f>
        <v>0</v>
      </c>
      <c r="AF285">
        <f>Loomakasvatus!O438</f>
        <v>0</v>
      </c>
      <c r="AG285">
        <f>Loomakasvatus!P438/1000</f>
        <v>0</v>
      </c>
      <c r="AH285">
        <f>IFERROR(VLOOKUP(AF285,Ettev_kalk!$CK$55:$CL$82,2,FALSE),0)</f>
        <v>0</v>
      </c>
      <c r="AI285">
        <f t="shared" si="142"/>
        <v>0</v>
      </c>
      <c r="AJ285" s="21"/>
    </row>
    <row r="286" spans="1:36">
      <c r="D286" s="132"/>
      <c r="F286" s="20">
        <f>Loomakasvatus!B439</f>
        <v>0</v>
      </c>
      <c r="G286">
        <f>Loomakasvatus!C439</f>
        <v>0</v>
      </c>
      <c r="H286">
        <f>Loomakasvatus!D439/1000</f>
        <v>0</v>
      </c>
      <c r="I286">
        <f>IFERROR(VLOOKUP(G286,Ettev_kalk!$CK$55:$CL$82,2,FALSE),0)</f>
        <v>0</v>
      </c>
      <c r="J286">
        <f t="shared" si="135"/>
        <v>0</v>
      </c>
      <c r="K286" s="21"/>
      <c r="P286" s="132"/>
      <c r="R286" s="20">
        <f>Loomakasvatus!I439</f>
        <v>0</v>
      </c>
      <c r="S286">
        <f>Loomakasvatus!J439</f>
        <v>0</v>
      </c>
      <c r="T286">
        <f>Loomakasvatus!K439/1000</f>
        <v>0</v>
      </c>
      <c r="U286">
        <f>IFERROR(VLOOKUP(S286,Ettev_kalk!$CK$55:$CL$82,2,FALSE),0)</f>
        <v>0</v>
      </c>
      <c r="V286">
        <f t="shared" si="141"/>
        <v>0</v>
      </c>
      <c r="W286" s="21"/>
      <c r="AC286" s="132"/>
      <c r="AE286" s="20">
        <f>Loomakasvatus!N439</f>
        <v>0</v>
      </c>
      <c r="AF286">
        <f>Loomakasvatus!O439</f>
        <v>0</v>
      </c>
      <c r="AG286">
        <f>Loomakasvatus!P439/1000</f>
        <v>0</v>
      </c>
      <c r="AH286">
        <f>IFERROR(VLOOKUP(AF286,Ettev_kalk!$CK$55:$CL$82,2,FALSE),0)</f>
        <v>0</v>
      </c>
      <c r="AI286">
        <f t="shared" si="142"/>
        <v>0</v>
      </c>
      <c r="AJ286" s="21"/>
    </row>
    <row r="287" spans="1:36" ht="15" thickBot="1">
      <c r="A287" s="122"/>
      <c r="D287" s="132"/>
      <c r="F287" s="58">
        <f>Loomakasvatus!B440</f>
        <v>0</v>
      </c>
      <c r="G287" s="36">
        <f>Loomakasvatus!C440</f>
        <v>0</v>
      </c>
      <c r="H287">
        <f>Loomakasvatus!D440/1000</f>
        <v>0</v>
      </c>
      <c r="I287" s="36">
        <f>IFERROR(VLOOKUP(G287,Ettev_kalk!$CK$55:$CL$82,2,FALSE),0)</f>
        <v>0</v>
      </c>
      <c r="J287" s="36">
        <f t="shared" si="135"/>
        <v>0</v>
      </c>
      <c r="K287" s="37"/>
      <c r="M287" s="122"/>
      <c r="P287" s="132"/>
      <c r="R287" s="58">
        <f>Loomakasvatus!I440</f>
        <v>0</v>
      </c>
      <c r="S287" s="36">
        <f>Loomakasvatus!J440</f>
        <v>0</v>
      </c>
      <c r="T287">
        <f>Loomakasvatus!K440/1000</f>
        <v>0</v>
      </c>
      <c r="U287" s="36">
        <f>IFERROR(VLOOKUP(S287,Ettev_kalk!$CK$55:$CL$82,2,FALSE),0)</f>
        <v>0</v>
      </c>
      <c r="V287" s="36">
        <f t="shared" si="141"/>
        <v>0</v>
      </c>
      <c r="W287" s="37"/>
      <c r="Z287" s="122"/>
      <c r="AC287" s="132"/>
      <c r="AE287" s="58">
        <f>Loomakasvatus!N440</f>
        <v>0</v>
      </c>
      <c r="AF287" s="36">
        <f>Loomakasvatus!O440</f>
        <v>0</v>
      </c>
      <c r="AG287">
        <f>Loomakasvatus!P440/1000</f>
        <v>0</v>
      </c>
      <c r="AH287" s="36">
        <f>IFERROR(VLOOKUP(AF287,Ettev_kalk!$CK$55:$CL$82,2,FALSE),0)</f>
        <v>0</v>
      </c>
      <c r="AI287" s="36">
        <f t="shared" si="142"/>
        <v>0</v>
      </c>
      <c r="AJ287" s="37"/>
    </row>
    <row r="288" spans="1:36">
      <c r="D288" s="132"/>
      <c r="F288" s="20">
        <f>Loomakasvatus!B441</f>
        <v>0</v>
      </c>
      <c r="G288" t="str">
        <f>Loomakasvatus!C441</f>
        <v>Muu sööt</v>
      </c>
      <c r="H288" t="str">
        <f>Loomakasvatus!D441</f>
        <v>Kogus (kg)</v>
      </c>
      <c r="K288" s="21"/>
      <c r="P288" s="132"/>
      <c r="R288" s="20">
        <f>Loomakasvatus!I441</f>
        <v>0</v>
      </c>
      <c r="S288" t="str">
        <f>Loomakasvatus!J441</f>
        <v>Muu sööt</v>
      </c>
      <c r="T288" t="str">
        <f>Loomakasvatus!K441</f>
        <v>Kogus (kg)</v>
      </c>
      <c r="W288" s="21"/>
      <c r="AC288" s="132"/>
      <c r="AE288" s="20">
        <f>Loomakasvatus!N441</f>
        <v>0</v>
      </c>
      <c r="AF288" t="str">
        <f>Loomakasvatus!O441</f>
        <v>Muu sööt</v>
      </c>
      <c r="AG288" t="str">
        <f>Loomakasvatus!P441</f>
        <v>Kogus (kg)</v>
      </c>
      <c r="AJ288" s="21"/>
    </row>
    <row r="289" spans="1:36">
      <c r="D289" s="132"/>
      <c r="F289" s="20">
        <f>Loomakasvatus!B442</f>
        <v>0</v>
      </c>
      <c r="G289">
        <f>Loomakasvatus!C442</f>
        <v>0</v>
      </c>
      <c r="H289">
        <f>Loomakasvatus!D442</f>
        <v>0</v>
      </c>
      <c r="I289">
        <f>IFERROR(VLOOKUP(G289,'EFid TK'!$B$6:$C$36,2,FALSE),0)</f>
        <v>0</v>
      </c>
      <c r="J289">
        <f t="shared" si="135"/>
        <v>0</v>
      </c>
      <c r="K289" s="21"/>
      <c r="P289" s="132"/>
      <c r="R289" s="20">
        <f>Loomakasvatus!I442</f>
        <v>0</v>
      </c>
      <c r="S289">
        <f>Loomakasvatus!J442</f>
        <v>0</v>
      </c>
      <c r="T289">
        <f>Loomakasvatus!K442</f>
        <v>0</v>
      </c>
      <c r="U289">
        <f>IFERROR(VLOOKUP(S289,'EFid TK'!$B$6:$C$36,2,FALSE),0)</f>
        <v>0</v>
      </c>
      <c r="V289">
        <f t="shared" ref="V289:V299" si="143">U289*T289</f>
        <v>0</v>
      </c>
      <c r="W289" s="21"/>
      <c r="AC289" s="132"/>
      <c r="AE289" s="20">
        <f>Loomakasvatus!N442</f>
        <v>0</v>
      </c>
      <c r="AF289">
        <f>Loomakasvatus!O442</f>
        <v>0</v>
      </c>
      <c r="AG289">
        <f>Loomakasvatus!P442</f>
        <v>0</v>
      </c>
      <c r="AH289">
        <f>IFERROR(VLOOKUP(AF289,'EFid TK'!$B$6:$C$36,2,FALSE),0)</f>
        <v>0</v>
      </c>
      <c r="AI289">
        <f t="shared" ref="AI289:AI299" si="144">AH289*AG289</f>
        <v>0</v>
      </c>
      <c r="AJ289" s="21"/>
    </row>
    <row r="290" spans="1:36" ht="15" thickBot="1">
      <c r="F290" s="20">
        <f>Loomakasvatus!B443</f>
        <v>0</v>
      </c>
      <c r="G290">
        <f>Loomakasvatus!C443</f>
        <v>0</v>
      </c>
      <c r="H290">
        <f>Loomakasvatus!D443</f>
        <v>0</v>
      </c>
      <c r="I290">
        <f>IFERROR(VLOOKUP(G290,'EFid TK'!$B$6:$C$36,2,FALSE),0)</f>
        <v>0</v>
      </c>
      <c r="J290">
        <f t="shared" si="135"/>
        <v>0</v>
      </c>
      <c r="K290" s="21"/>
      <c r="R290" s="20">
        <f>Loomakasvatus!I443</f>
        <v>0</v>
      </c>
      <c r="S290">
        <f>Loomakasvatus!J443</f>
        <v>0</v>
      </c>
      <c r="T290">
        <f>Loomakasvatus!K443</f>
        <v>0</v>
      </c>
      <c r="U290">
        <f>IFERROR(VLOOKUP(S290,'EFid TK'!$B$6:$C$36,2,FALSE),0)</f>
        <v>0</v>
      </c>
      <c r="V290">
        <f t="shared" si="143"/>
        <v>0</v>
      </c>
      <c r="W290" s="21"/>
      <c r="AE290" s="20">
        <f>Loomakasvatus!N443</f>
        <v>0</v>
      </c>
      <c r="AF290">
        <f>Loomakasvatus!O443</f>
        <v>0</v>
      </c>
      <c r="AG290">
        <f>Loomakasvatus!P443</f>
        <v>0</v>
      </c>
      <c r="AH290">
        <f>IFERROR(VLOOKUP(AF290,'EFid TK'!$B$6:$C$36,2,FALSE),0)</f>
        <v>0</v>
      </c>
      <c r="AI290">
        <f t="shared" si="144"/>
        <v>0</v>
      </c>
      <c r="AJ290" s="21"/>
    </row>
    <row r="291" spans="1:36">
      <c r="A291" s="15" t="s">
        <v>806</v>
      </c>
      <c r="B291" s="17"/>
      <c r="F291" s="20">
        <f>Loomakasvatus!B444</f>
        <v>0</v>
      </c>
      <c r="G291">
        <f>Loomakasvatus!C444</f>
        <v>0</v>
      </c>
      <c r="H291">
        <f>Loomakasvatus!D444</f>
        <v>0</v>
      </c>
      <c r="I291">
        <f>IFERROR(VLOOKUP(G291,'EFid TK'!$B$6:$C$36,2,FALSE),0)</f>
        <v>0</v>
      </c>
      <c r="J291">
        <f t="shared" si="135"/>
        <v>0</v>
      </c>
      <c r="K291" s="21"/>
      <c r="M291" s="15" t="s">
        <v>806</v>
      </c>
      <c r="N291" s="17"/>
      <c r="R291" s="20">
        <f>Loomakasvatus!I444</f>
        <v>0</v>
      </c>
      <c r="S291">
        <f>Loomakasvatus!J444</f>
        <v>0</v>
      </c>
      <c r="T291">
        <f>Loomakasvatus!K444</f>
        <v>0</v>
      </c>
      <c r="U291">
        <f>IFERROR(VLOOKUP(S291,'EFid TK'!$B$6:$C$36,2,FALSE),0)</f>
        <v>0</v>
      </c>
      <c r="V291">
        <f t="shared" si="143"/>
        <v>0</v>
      </c>
      <c r="W291" s="21"/>
      <c r="Z291" t="s">
        <v>806</v>
      </c>
      <c r="AE291" s="20">
        <f>Loomakasvatus!N444</f>
        <v>0</v>
      </c>
      <c r="AF291">
        <f>Loomakasvatus!O444</f>
        <v>0</v>
      </c>
      <c r="AG291">
        <f>Loomakasvatus!P444</f>
        <v>0</v>
      </c>
      <c r="AH291">
        <f>IFERROR(VLOOKUP(AF291,'EFid TK'!$B$6:$C$36,2,FALSE),0)</f>
        <v>0</v>
      </c>
      <c r="AI291">
        <f t="shared" si="144"/>
        <v>0</v>
      </c>
      <c r="AJ291" s="21"/>
    </row>
    <row r="292" spans="1:36">
      <c r="A292" s="20">
        <f>D285*D263*D255*'M1 - TK'!$B$15*(44/28)</f>
        <v>0</v>
      </c>
      <c r="B292" s="21" t="s">
        <v>807</v>
      </c>
      <c r="F292" s="20">
        <f>Loomakasvatus!B445</f>
        <v>0</v>
      </c>
      <c r="G292">
        <f>Loomakasvatus!C445</f>
        <v>0</v>
      </c>
      <c r="H292">
        <f>Loomakasvatus!D445</f>
        <v>0</v>
      </c>
      <c r="I292">
        <f>IFERROR(VLOOKUP(G292,'EFid TK'!$B$6:$C$36,2,FALSE),0)</f>
        <v>0</v>
      </c>
      <c r="J292">
        <f t="shared" si="135"/>
        <v>0</v>
      </c>
      <c r="K292" s="21"/>
      <c r="M292" s="20">
        <f>P285*P263*P255*'M1 - TK'!$B$15*(44/28)</f>
        <v>0</v>
      </c>
      <c r="N292" s="21" t="s">
        <v>807</v>
      </c>
      <c r="R292" s="20">
        <f>Loomakasvatus!I445</f>
        <v>0</v>
      </c>
      <c r="S292">
        <f>Loomakasvatus!J445</f>
        <v>0</v>
      </c>
      <c r="T292">
        <f>Loomakasvatus!K445</f>
        <v>0</v>
      </c>
      <c r="U292">
        <f>IFERROR(VLOOKUP(S292,'EFid TK'!$B$6:$C$36,2,FALSE),0)</f>
        <v>0</v>
      </c>
      <c r="V292">
        <f t="shared" si="143"/>
        <v>0</v>
      </c>
      <c r="W292" s="21"/>
      <c r="Z292">
        <f>AC285*AC263*AC255*'M1 - TK'!$B$15*(44/28)</f>
        <v>0</v>
      </c>
      <c r="AA292" t="s">
        <v>807</v>
      </c>
      <c r="AE292" s="20">
        <f>Loomakasvatus!N445</f>
        <v>0</v>
      </c>
      <c r="AF292">
        <f>Loomakasvatus!O445</f>
        <v>0</v>
      </c>
      <c r="AG292">
        <f>Loomakasvatus!P445</f>
        <v>0</v>
      </c>
      <c r="AH292">
        <f>IFERROR(VLOOKUP(AF292,'EFid TK'!$B$6:$C$36,2,FALSE),0)</f>
        <v>0</v>
      </c>
      <c r="AI292">
        <f t="shared" si="144"/>
        <v>0</v>
      </c>
      <c r="AJ292" s="21"/>
    </row>
    <row r="293" spans="1:36">
      <c r="A293" s="20">
        <f>D285*D263*D255*'M1 - TK'!$B$25*'M1 - TK'!$B$20*(44/28)</f>
        <v>0</v>
      </c>
      <c r="B293" s="21" t="s">
        <v>1033</v>
      </c>
      <c r="F293" s="20">
        <f>Loomakasvatus!B446</f>
        <v>0</v>
      </c>
      <c r="G293">
        <f>Loomakasvatus!C446</f>
        <v>0</v>
      </c>
      <c r="H293">
        <f>Loomakasvatus!D446</f>
        <v>0</v>
      </c>
      <c r="I293">
        <f>IFERROR(VLOOKUP(G293,'EFid TK'!$B$6:$C$36,2,FALSE),0)</f>
        <v>0</v>
      </c>
      <c r="J293">
        <f t="shared" si="135"/>
        <v>0</v>
      </c>
      <c r="K293" s="21"/>
      <c r="M293" s="20">
        <f>P285*P263*P255*'M1 - TK'!$B$25*'M1 - TK'!$B$20*(44/28)</f>
        <v>0</v>
      </c>
      <c r="N293" s="21" t="s">
        <v>1033</v>
      </c>
      <c r="R293" s="20">
        <f>Loomakasvatus!I446</f>
        <v>0</v>
      </c>
      <c r="S293">
        <f>Loomakasvatus!J446</f>
        <v>0</v>
      </c>
      <c r="T293">
        <f>Loomakasvatus!K446</f>
        <v>0</v>
      </c>
      <c r="U293">
        <f>IFERROR(VLOOKUP(S293,'EFid TK'!$B$6:$C$36,2,FALSE),0)</f>
        <v>0</v>
      </c>
      <c r="V293">
        <f t="shared" si="143"/>
        <v>0</v>
      </c>
      <c r="W293" s="21"/>
      <c r="Z293">
        <f>AC285*AC263*AC255*'M1 - TK'!$B$25*'M1 - TK'!$B$20*(44/28)</f>
        <v>0</v>
      </c>
      <c r="AA293" t="s">
        <v>1033</v>
      </c>
      <c r="AE293" s="20">
        <f>Loomakasvatus!N446</f>
        <v>0</v>
      </c>
      <c r="AF293">
        <f>Loomakasvatus!O446</f>
        <v>0</v>
      </c>
      <c r="AG293">
        <f>Loomakasvatus!P446</f>
        <v>0</v>
      </c>
      <c r="AH293">
        <f>IFERROR(VLOOKUP(AF293,'EFid TK'!$B$6:$C$36,2,FALSE),0)</f>
        <v>0</v>
      </c>
      <c r="AI293">
        <f t="shared" si="144"/>
        <v>0</v>
      </c>
      <c r="AJ293" s="21"/>
    </row>
    <row r="294" spans="1:36" ht="15" thickBot="1">
      <c r="A294" s="58">
        <f>D285*D263*D255*'M1 - TK'!$B$27*'M1 - TK'!$B$21*(44/28)</f>
        <v>0</v>
      </c>
      <c r="B294" s="37" t="s">
        <v>1034</v>
      </c>
      <c r="F294" s="20">
        <f>Loomakasvatus!B447</f>
        <v>0</v>
      </c>
      <c r="G294">
        <f>Loomakasvatus!C447</f>
        <v>0</v>
      </c>
      <c r="H294">
        <f>Loomakasvatus!D447</f>
        <v>0</v>
      </c>
      <c r="I294">
        <f>IFERROR(VLOOKUP(G294,'EFid TK'!$B$6:$C$36,2,FALSE),0)</f>
        <v>0</v>
      </c>
      <c r="J294">
        <f t="shared" si="135"/>
        <v>0</v>
      </c>
      <c r="K294" s="21"/>
      <c r="M294" s="58">
        <f>P285*P263*P255*'M1 - TK'!$B$27*'M1 - TK'!$B$21*(44/28)</f>
        <v>0</v>
      </c>
      <c r="N294" s="37" t="s">
        <v>1034</v>
      </c>
      <c r="R294" s="20">
        <f>Loomakasvatus!I447</f>
        <v>0</v>
      </c>
      <c r="S294">
        <f>Loomakasvatus!J447</f>
        <v>0</v>
      </c>
      <c r="T294">
        <f>Loomakasvatus!K447</f>
        <v>0</v>
      </c>
      <c r="U294">
        <f>IFERROR(VLOOKUP(S294,'EFid TK'!$B$6:$C$36,2,FALSE),0)</f>
        <v>0</v>
      </c>
      <c r="V294">
        <f t="shared" si="143"/>
        <v>0</v>
      </c>
      <c r="W294" s="21"/>
      <c r="Z294">
        <f>AC285*AC263*AC255*'M1 - TK'!$B$27*'M1 - TK'!$B$21*(44/28)</f>
        <v>0</v>
      </c>
      <c r="AA294" t="s">
        <v>1034</v>
      </c>
      <c r="AE294" s="20">
        <f>Loomakasvatus!N447</f>
        <v>0</v>
      </c>
      <c r="AF294">
        <f>Loomakasvatus!O447</f>
        <v>0</v>
      </c>
      <c r="AG294">
        <f>Loomakasvatus!P447</f>
        <v>0</v>
      </c>
      <c r="AH294">
        <f>IFERROR(VLOOKUP(AF294,'EFid TK'!$B$6:$C$36,2,FALSE),0)</f>
        <v>0</v>
      </c>
      <c r="AI294">
        <f t="shared" si="144"/>
        <v>0</v>
      </c>
      <c r="AJ294" s="21"/>
    </row>
    <row r="295" spans="1:36">
      <c r="F295" s="20">
        <f>Loomakasvatus!B448</f>
        <v>0</v>
      </c>
      <c r="G295">
        <f>Loomakasvatus!C448</f>
        <v>0</v>
      </c>
      <c r="H295">
        <f>Loomakasvatus!D448</f>
        <v>0</v>
      </c>
      <c r="I295">
        <f>IFERROR(VLOOKUP(G295,'EFid TK'!$B$6:$C$36,2,FALSE),0)</f>
        <v>0</v>
      </c>
      <c r="J295">
        <f t="shared" si="135"/>
        <v>0</v>
      </c>
      <c r="K295" s="21"/>
      <c r="R295" s="20">
        <f>Loomakasvatus!I448</f>
        <v>0</v>
      </c>
      <c r="S295">
        <f>Loomakasvatus!J448</f>
        <v>0</v>
      </c>
      <c r="T295">
        <f>Loomakasvatus!K448</f>
        <v>0</v>
      </c>
      <c r="U295">
        <f>IFERROR(VLOOKUP(S295,'EFid TK'!$B$6:$C$36,2,FALSE),0)</f>
        <v>0</v>
      </c>
      <c r="V295">
        <f t="shared" si="143"/>
        <v>0</v>
      </c>
      <c r="W295" s="21"/>
      <c r="AE295" s="20">
        <f>Loomakasvatus!N448</f>
        <v>0</v>
      </c>
      <c r="AF295">
        <f>Loomakasvatus!O448</f>
        <v>0</v>
      </c>
      <c r="AG295">
        <f>Loomakasvatus!P448</f>
        <v>0</v>
      </c>
      <c r="AH295">
        <f>IFERROR(VLOOKUP(AF295,'EFid TK'!$B$6:$C$36,2,FALSE),0)</f>
        <v>0</v>
      </c>
      <c r="AI295">
        <f t="shared" si="144"/>
        <v>0</v>
      </c>
      <c r="AJ295" s="21"/>
    </row>
    <row r="296" spans="1:36">
      <c r="F296" s="20">
        <f>Loomakasvatus!B449</f>
        <v>0</v>
      </c>
      <c r="G296">
        <f>Loomakasvatus!C449</f>
        <v>0</v>
      </c>
      <c r="H296">
        <f>Loomakasvatus!D449</f>
        <v>0</v>
      </c>
      <c r="I296">
        <f>IFERROR(VLOOKUP(G296,'EFid TK'!$B$6:$C$36,2,FALSE),0)</f>
        <v>0</v>
      </c>
      <c r="J296">
        <f t="shared" si="135"/>
        <v>0</v>
      </c>
      <c r="K296" s="21"/>
      <c r="R296" s="20">
        <f>Loomakasvatus!I449</f>
        <v>0</v>
      </c>
      <c r="S296">
        <f>Loomakasvatus!J449</f>
        <v>0</v>
      </c>
      <c r="T296">
        <f>Loomakasvatus!K449</f>
        <v>0</v>
      </c>
      <c r="U296">
        <f>IFERROR(VLOOKUP(S296,'EFid TK'!$B$6:$C$36,2,FALSE),0)</f>
        <v>0</v>
      </c>
      <c r="V296">
        <f t="shared" si="143"/>
        <v>0</v>
      </c>
      <c r="W296" s="21"/>
      <c r="AE296" s="20">
        <f>Loomakasvatus!N449</f>
        <v>0</v>
      </c>
      <c r="AF296">
        <f>Loomakasvatus!O449</f>
        <v>0</v>
      </c>
      <c r="AG296">
        <f>Loomakasvatus!P449</f>
        <v>0</v>
      </c>
      <c r="AH296">
        <f>IFERROR(VLOOKUP(AF296,'EFid TK'!$B$6:$C$36,2,FALSE),0)</f>
        <v>0</v>
      </c>
      <c r="AI296">
        <f t="shared" si="144"/>
        <v>0</v>
      </c>
      <c r="AJ296" s="21"/>
    </row>
    <row r="297" spans="1:36">
      <c r="F297" s="20">
        <f>Loomakasvatus!B450</f>
        <v>0</v>
      </c>
      <c r="G297">
        <f>Loomakasvatus!C450</f>
        <v>0</v>
      </c>
      <c r="H297">
        <f>Loomakasvatus!D450</f>
        <v>0</v>
      </c>
      <c r="I297">
        <f>IFERROR(VLOOKUP(G297,'EFid TK'!$B$6:$C$36,2,FALSE),0)</f>
        <v>0</v>
      </c>
      <c r="J297">
        <f t="shared" si="135"/>
        <v>0</v>
      </c>
      <c r="K297" s="21"/>
      <c r="R297" s="20">
        <f>Loomakasvatus!I450</f>
        <v>0</v>
      </c>
      <c r="S297">
        <f>Loomakasvatus!J450</f>
        <v>0</v>
      </c>
      <c r="T297">
        <f>Loomakasvatus!K450</f>
        <v>0</v>
      </c>
      <c r="U297">
        <f>IFERROR(VLOOKUP(S297,'EFid TK'!$B$6:$C$36,2,FALSE),0)</f>
        <v>0</v>
      </c>
      <c r="V297">
        <f t="shared" si="143"/>
        <v>0</v>
      </c>
      <c r="W297" s="21"/>
      <c r="AE297" s="20">
        <f>Loomakasvatus!N450</f>
        <v>0</v>
      </c>
      <c r="AF297">
        <f>Loomakasvatus!O450</f>
        <v>0</v>
      </c>
      <c r="AG297">
        <f>Loomakasvatus!P450</f>
        <v>0</v>
      </c>
      <c r="AH297">
        <f>IFERROR(VLOOKUP(AF297,'EFid TK'!$B$6:$C$36,2,FALSE),0)</f>
        <v>0</v>
      </c>
      <c r="AI297">
        <f t="shared" si="144"/>
        <v>0</v>
      </c>
      <c r="AJ297" s="21"/>
    </row>
    <row r="298" spans="1:36">
      <c r="F298" s="20">
        <f>Loomakasvatus!B451</f>
        <v>0</v>
      </c>
      <c r="G298">
        <f>Loomakasvatus!C451</f>
        <v>0</v>
      </c>
      <c r="H298">
        <f>Loomakasvatus!D451</f>
        <v>0</v>
      </c>
      <c r="I298">
        <f>IFERROR(VLOOKUP(G298,'EFid TK'!$B$6:$C$36,2,FALSE),0)</f>
        <v>0</v>
      </c>
      <c r="J298">
        <f t="shared" si="135"/>
        <v>0</v>
      </c>
      <c r="K298" s="21"/>
      <c r="R298" s="20">
        <f>Loomakasvatus!I451</f>
        <v>0</v>
      </c>
      <c r="S298">
        <f>Loomakasvatus!J451</f>
        <v>0</v>
      </c>
      <c r="T298">
        <f>Loomakasvatus!K451</f>
        <v>0</v>
      </c>
      <c r="U298">
        <f>IFERROR(VLOOKUP(S298,'EFid TK'!$B$6:$C$36,2,FALSE),0)</f>
        <v>0</v>
      </c>
      <c r="V298">
        <f t="shared" si="143"/>
        <v>0</v>
      </c>
      <c r="W298" s="21"/>
      <c r="AE298" s="20">
        <f>Loomakasvatus!N451</f>
        <v>0</v>
      </c>
      <c r="AF298">
        <f>Loomakasvatus!O451</f>
        <v>0</v>
      </c>
      <c r="AG298">
        <f>Loomakasvatus!P451</f>
        <v>0</v>
      </c>
      <c r="AH298">
        <f>IFERROR(VLOOKUP(AF298,'EFid TK'!$B$6:$C$36,2,FALSE),0)</f>
        <v>0</v>
      </c>
      <c r="AI298">
        <f t="shared" si="144"/>
        <v>0</v>
      </c>
      <c r="AJ298" s="21"/>
    </row>
    <row r="299" spans="1:36">
      <c r="F299" s="20">
        <f>Loomakasvatus!B452</f>
        <v>0</v>
      </c>
      <c r="G299">
        <f>Loomakasvatus!C452</f>
        <v>0</v>
      </c>
      <c r="H299">
        <f>Loomakasvatus!D452</f>
        <v>0</v>
      </c>
      <c r="I299">
        <f>IFERROR(VLOOKUP(G299,'EFid TK'!$B$6:$C$36,2,FALSE),0)</f>
        <v>0</v>
      </c>
      <c r="J299">
        <f t="shared" si="135"/>
        <v>0</v>
      </c>
      <c r="K299" s="21"/>
      <c r="R299" s="20">
        <f>Loomakasvatus!I452</f>
        <v>0</v>
      </c>
      <c r="S299">
        <f>Loomakasvatus!J452</f>
        <v>0</v>
      </c>
      <c r="T299">
        <f>Loomakasvatus!K452</f>
        <v>0</v>
      </c>
      <c r="U299">
        <f>IFERROR(VLOOKUP(S299,'EFid TK'!$B$6:$C$36,2,FALSE),0)</f>
        <v>0</v>
      </c>
      <c r="V299">
        <f t="shared" si="143"/>
        <v>0</v>
      </c>
      <c r="W299" s="21"/>
      <c r="AE299" s="20">
        <f>Loomakasvatus!N452</f>
        <v>0</v>
      </c>
      <c r="AF299">
        <f>Loomakasvatus!O452</f>
        <v>0</v>
      </c>
      <c r="AG299">
        <f>Loomakasvatus!P452</f>
        <v>0</v>
      </c>
      <c r="AH299">
        <f>IFERROR(VLOOKUP(AF299,'EFid TK'!$B$6:$C$36,2,FALSE),0)</f>
        <v>0</v>
      </c>
      <c r="AI299">
        <f t="shared" si="144"/>
        <v>0</v>
      </c>
      <c r="AJ299" s="21"/>
    </row>
    <row r="300" spans="1:36">
      <c r="F300" s="20">
        <f>Loomakasvatus!B453</f>
        <v>0</v>
      </c>
      <c r="G300">
        <f>Loomakasvatus!C453</f>
        <v>0</v>
      </c>
      <c r="H300">
        <f>Loomakasvatus!D453</f>
        <v>0</v>
      </c>
      <c r="I300">
        <f>IFERROR(VLOOKUP(G300,'EFid TK'!$B$6:$C$36,2,FALSE),0)</f>
        <v>0</v>
      </c>
      <c r="J300">
        <f t="shared" si="135"/>
        <v>0</v>
      </c>
      <c r="K300" s="21"/>
      <c r="R300" s="20">
        <f>Loomakasvatus!I453</f>
        <v>0</v>
      </c>
      <c r="S300">
        <f>Loomakasvatus!J453</f>
        <v>0</v>
      </c>
      <c r="T300">
        <f>Loomakasvatus!K453</f>
        <v>0</v>
      </c>
      <c r="U300">
        <f>IFERROR(VLOOKUP(S300,'EFid TK'!$B$6:$C$36,2,FALSE),0)</f>
        <v>0</v>
      </c>
      <c r="V300">
        <f t="shared" ref="V300:V301" si="145">U300*T300</f>
        <v>0</v>
      </c>
      <c r="W300" s="21"/>
      <c r="AE300" s="20">
        <f>Loomakasvatus!N453</f>
        <v>0</v>
      </c>
      <c r="AF300">
        <f>Loomakasvatus!O453</f>
        <v>0</v>
      </c>
      <c r="AG300">
        <f>Loomakasvatus!P453</f>
        <v>0</v>
      </c>
      <c r="AH300">
        <f>IFERROR(VLOOKUP(AF300,'EFid TK'!$B$6:$C$36,2,FALSE),0)</f>
        <v>0</v>
      </c>
      <c r="AI300">
        <f t="shared" ref="AI300:AI301" si="146">AH300*AG300</f>
        <v>0</v>
      </c>
      <c r="AJ300" s="21"/>
    </row>
    <row r="301" spans="1:36" ht="15" thickBot="1">
      <c r="F301" s="20">
        <f>Loomakasvatus!B454</f>
        <v>0</v>
      </c>
      <c r="G301">
        <f>Loomakasvatus!C454</f>
        <v>0</v>
      </c>
      <c r="H301">
        <f>Loomakasvatus!D454</f>
        <v>0</v>
      </c>
      <c r="I301">
        <f>IFERROR(VLOOKUP(G301,'EFid TK'!$B$6:$C$36,2,FALSE),0)</f>
        <v>0</v>
      </c>
      <c r="J301">
        <f t="shared" si="135"/>
        <v>0</v>
      </c>
      <c r="K301" s="21"/>
      <c r="R301" s="20">
        <f>Loomakasvatus!I454</f>
        <v>0</v>
      </c>
      <c r="S301">
        <f>Loomakasvatus!J454</f>
        <v>0</v>
      </c>
      <c r="T301">
        <f>Loomakasvatus!K454</f>
        <v>0</v>
      </c>
      <c r="U301">
        <f>IFERROR(VLOOKUP(S301,'EFid TK'!$B$6:$C$36,2,FALSE),0)</f>
        <v>0</v>
      </c>
      <c r="V301">
        <f t="shared" si="145"/>
        <v>0</v>
      </c>
      <c r="W301" s="21"/>
      <c r="AE301" s="20">
        <f>Loomakasvatus!N454</f>
        <v>0</v>
      </c>
      <c r="AF301">
        <f>Loomakasvatus!O454</f>
        <v>0</v>
      </c>
      <c r="AG301">
        <f>Loomakasvatus!P454</f>
        <v>0</v>
      </c>
      <c r="AH301">
        <f>IFERROR(VLOOKUP(AF301,'EFid TK'!$B$6:$C$36,2,FALSE),0)</f>
        <v>0</v>
      </c>
      <c r="AI301">
        <f t="shared" si="146"/>
        <v>0</v>
      </c>
      <c r="AJ301" s="21"/>
    </row>
    <row r="302" spans="1:36">
      <c r="F302" s="15"/>
      <c r="G302" s="16" t="str" cm="1">
        <f t="array" ref="G302:I306">Loomakasvatus!C455:E459</f>
        <v>Sööt, mille heitetegur on teada</v>
      </c>
      <c r="H302" s="16" t="str">
        <v>Kogus (kg)</v>
      </c>
      <c r="I302" s="16" t="str">
        <v>Heitetegur (kg CO2-ekv/kg)</v>
      </c>
      <c r="J302" s="16"/>
      <c r="K302" s="17"/>
      <c r="R302" s="15"/>
      <c r="S302" s="16" t="str" cm="1">
        <f t="array" ref="S302:U306">Loomakasvatus!J455:L459</f>
        <v>Sööt, mille heitetegur on teada</v>
      </c>
      <c r="T302" s="16" t="str">
        <v>Kogus (kg)</v>
      </c>
      <c r="U302" s="16" t="str">
        <v>Heitetegur (kg CO2-ekv/kg)</v>
      </c>
      <c r="V302" s="16"/>
      <c r="W302" s="17"/>
      <c r="AE302" s="15"/>
      <c r="AF302" s="16" t="str" cm="1">
        <f t="array" ref="AF302:AH306">Loomakasvatus!O455:Q459</f>
        <v>Sööt, mille heitetegur on teada</v>
      </c>
      <c r="AG302" s="16" t="str">
        <v>Kogus (kg)</v>
      </c>
      <c r="AH302" s="16" t="str">
        <v>Heitetegur (kg CO2-ekv/kg)</v>
      </c>
      <c r="AI302" s="16"/>
      <c r="AJ302" s="17"/>
    </row>
    <row r="303" spans="1:36">
      <c r="F303" s="20"/>
      <c r="G303">
        <v>0</v>
      </c>
      <c r="H303">
        <v>0</v>
      </c>
      <c r="I303">
        <v>0</v>
      </c>
      <c r="J303">
        <f>H303*I303</f>
        <v>0</v>
      </c>
      <c r="K303" s="21"/>
      <c r="R303" s="20"/>
      <c r="S303">
        <v>0</v>
      </c>
      <c r="T303">
        <v>0</v>
      </c>
      <c r="U303">
        <v>0</v>
      </c>
      <c r="V303">
        <f>T303*U303</f>
        <v>0</v>
      </c>
      <c r="W303" s="21"/>
      <c r="AE303" s="20"/>
      <c r="AF303">
        <v>0</v>
      </c>
      <c r="AG303">
        <v>0</v>
      </c>
      <c r="AH303">
        <v>0</v>
      </c>
      <c r="AI303">
        <f>AG303*AH303</f>
        <v>0</v>
      </c>
      <c r="AJ303" s="21"/>
    </row>
    <row r="304" spans="1:36">
      <c r="F304" s="20"/>
      <c r="G304">
        <v>0</v>
      </c>
      <c r="H304">
        <v>0</v>
      </c>
      <c r="I304">
        <v>0</v>
      </c>
      <c r="J304">
        <f t="shared" ref="J304:J306" si="147">H304*I304</f>
        <v>0</v>
      </c>
      <c r="K304" s="21"/>
      <c r="R304" s="20"/>
      <c r="S304">
        <v>0</v>
      </c>
      <c r="T304">
        <v>0</v>
      </c>
      <c r="U304">
        <v>0</v>
      </c>
      <c r="V304">
        <f t="shared" ref="V304:V306" si="148">T304*U304</f>
        <v>0</v>
      </c>
      <c r="W304" s="21"/>
      <c r="AE304" s="20"/>
      <c r="AF304">
        <v>0</v>
      </c>
      <c r="AG304">
        <v>0</v>
      </c>
      <c r="AH304">
        <v>0</v>
      </c>
      <c r="AI304">
        <f t="shared" ref="AI304:AI306" si="149">AG304*AH304</f>
        <v>0</v>
      </c>
      <c r="AJ304" s="21"/>
    </row>
    <row r="305" spans="6:36">
      <c r="F305" s="20"/>
      <c r="G305">
        <v>0</v>
      </c>
      <c r="H305">
        <v>0</v>
      </c>
      <c r="I305">
        <v>0</v>
      </c>
      <c r="J305">
        <f t="shared" si="147"/>
        <v>0</v>
      </c>
      <c r="K305" s="21"/>
      <c r="R305" s="20"/>
      <c r="S305">
        <v>0</v>
      </c>
      <c r="T305">
        <v>0</v>
      </c>
      <c r="U305">
        <v>0</v>
      </c>
      <c r="V305">
        <f t="shared" si="148"/>
        <v>0</v>
      </c>
      <c r="W305" s="21"/>
      <c r="AE305" s="20"/>
      <c r="AF305">
        <v>0</v>
      </c>
      <c r="AG305">
        <v>0</v>
      </c>
      <c r="AH305">
        <v>0</v>
      </c>
      <c r="AI305">
        <f t="shared" si="149"/>
        <v>0</v>
      </c>
      <c r="AJ305" s="21"/>
    </row>
    <row r="306" spans="6:36" ht="15" thickBot="1">
      <c r="F306" s="58"/>
      <c r="G306" s="36">
        <v>0</v>
      </c>
      <c r="H306" s="36">
        <v>0</v>
      </c>
      <c r="I306" s="36">
        <v>0</v>
      </c>
      <c r="J306" s="36">
        <f t="shared" si="147"/>
        <v>0</v>
      </c>
      <c r="K306" s="37"/>
      <c r="R306" s="58"/>
      <c r="S306" s="36">
        <v>0</v>
      </c>
      <c r="T306" s="36">
        <v>0</v>
      </c>
      <c r="U306" s="36">
        <v>0</v>
      </c>
      <c r="V306" s="36">
        <f t="shared" si="148"/>
        <v>0</v>
      </c>
      <c r="W306" s="37"/>
      <c r="AE306" s="58"/>
      <c r="AF306" s="36">
        <v>0</v>
      </c>
      <c r="AG306" s="36">
        <v>0</v>
      </c>
      <c r="AH306" s="36">
        <v>0</v>
      </c>
      <c r="AI306" s="36">
        <f t="shared" si="149"/>
        <v>0</v>
      </c>
      <c r="AJ306" s="37"/>
    </row>
    <row r="307" spans="6:36" ht="15" thickBot="1">
      <c r="F307" s="15" t="s">
        <v>452</v>
      </c>
      <c r="G307" s="16"/>
      <c r="H307" s="16"/>
      <c r="I307" s="16"/>
      <c r="J307" s="17"/>
    </row>
    <row r="308" spans="6:36" ht="15" thickBot="1">
      <c r="F308" s="20">
        <f>Loomakasvatus!C474</f>
        <v>0</v>
      </c>
      <c r="G308">
        <f>Loomakasvatus!D474</f>
        <v>0</v>
      </c>
      <c r="H308">
        <f>IFERROR(VLOOKUP(F308,EFid!$A$243:$B$250,2,FALSE),0)</f>
        <v>0</v>
      </c>
      <c r="I308">
        <f>G308*H308</f>
        <v>0</v>
      </c>
      <c r="J308" s="445">
        <f>SUM(I308:I316)</f>
        <v>0</v>
      </c>
      <c r="R308" s="15" t="s">
        <v>452</v>
      </c>
      <c r="S308" s="16"/>
      <c r="T308" s="16"/>
      <c r="U308" s="16"/>
      <c r="V308" s="17"/>
    </row>
    <row r="309" spans="6:36">
      <c r="F309" s="20">
        <f>Loomakasvatus!C475</f>
        <v>0</v>
      </c>
      <c r="G309">
        <f>Loomakasvatus!D475</f>
        <v>0</v>
      </c>
      <c r="H309">
        <f>IFERROR(VLOOKUP(F309,EFid!$A$243:$B$250,2,FALSE),0)</f>
        <v>0</v>
      </c>
      <c r="I309">
        <f t="shared" ref="I309:I316" si="150">G309*H309</f>
        <v>0</v>
      </c>
      <c r="J309" s="21"/>
      <c r="R309" s="20">
        <f>Loomakasvatus!J474</f>
        <v>0</v>
      </c>
      <c r="S309">
        <f>Loomakasvatus!K474</f>
        <v>0</v>
      </c>
      <c r="T309">
        <f>IFERROR(VLOOKUP(R309,EFid!$A$243:$B$250,2,FALSE),0)</f>
        <v>0</v>
      </c>
      <c r="U309">
        <f>S309*T309</f>
        <v>0</v>
      </c>
      <c r="V309" s="445">
        <f>SUM(U309:U317)</f>
        <v>0</v>
      </c>
      <c r="AE309" s="15" t="s">
        <v>452</v>
      </c>
      <c r="AF309" s="16"/>
      <c r="AG309" s="16"/>
      <c r="AH309" s="16"/>
      <c r="AI309" s="17"/>
    </row>
    <row r="310" spans="6:36">
      <c r="F310" s="20">
        <f>Loomakasvatus!C476</f>
        <v>0</v>
      </c>
      <c r="G310">
        <f>Loomakasvatus!D476</f>
        <v>0</v>
      </c>
      <c r="H310">
        <f>IFERROR(VLOOKUP(F310,EFid!$A$243:$B$250,2,FALSE),0)</f>
        <v>0</v>
      </c>
      <c r="I310">
        <f t="shared" si="150"/>
        <v>0</v>
      </c>
      <c r="J310" s="21"/>
      <c r="R310" s="20">
        <f>Loomakasvatus!J475</f>
        <v>0</v>
      </c>
      <c r="S310">
        <f>Loomakasvatus!K475</f>
        <v>0</v>
      </c>
      <c r="T310">
        <f>IFERROR(VLOOKUP(R310,EFid!$A$243:$B$250,2,FALSE),0)</f>
        <v>0</v>
      </c>
      <c r="U310">
        <f t="shared" ref="U310:U317" si="151">S310*T310</f>
        <v>0</v>
      </c>
      <c r="V310" s="21"/>
      <c r="AE310" s="20">
        <f>Loomakasvatus!O474</f>
        <v>0</v>
      </c>
      <c r="AF310">
        <f>Loomakasvatus!P474</f>
        <v>0</v>
      </c>
      <c r="AG310">
        <f>IFERROR(VLOOKUP(AE310,EFid!$A$243:$B$250,2,FALSE),0)</f>
        <v>0</v>
      </c>
      <c r="AH310">
        <f>AF310*AG310</f>
        <v>0</v>
      </c>
      <c r="AI310" s="445">
        <f>SUM(AH310:AH318)</f>
        <v>0</v>
      </c>
    </row>
    <row r="311" spans="6:36">
      <c r="F311" s="20">
        <f>Loomakasvatus!C477</f>
        <v>0</v>
      </c>
      <c r="G311">
        <f>Loomakasvatus!D477</f>
        <v>0</v>
      </c>
      <c r="H311">
        <f>IFERROR(VLOOKUP(F311,EFid!$A$243:$B$250,2,FALSE),0)</f>
        <v>0</v>
      </c>
      <c r="I311">
        <f t="shared" si="150"/>
        <v>0</v>
      </c>
      <c r="J311" s="21"/>
      <c r="R311" s="20">
        <f>Loomakasvatus!J476</f>
        <v>0</v>
      </c>
      <c r="S311">
        <f>Loomakasvatus!K476</f>
        <v>0</v>
      </c>
      <c r="T311">
        <f>IFERROR(VLOOKUP(R311,EFid!$A$243:$B$250,2,FALSE),0)</f>
        <v>0</v>
      </c>
      <c r="U311">
        <f t="shared" si="151"/>
        <v>0</v>
      </c>
      <c r="V311" s="21"/>
      <c r="AE311" s="20">
        <f>Loomakasvatus!O475</f>
        <v>0</v>
      </c>
      <c r="AF311">
        <f>Loomakasvatus!P475</f>
        <v>0</v>
      </c>
      <c r="AG311">
        <f>IFERROR(VLOOKUP(AE311,EFid!$A$243:$B$250,2,FALSE),0)</f>
        <v>0</v>
      </c>
      <c r="AH311">
        <f t="shared" ref="AH311:AH318" si="152">AF311*AG311</f>
        <v>0</v>
      </c>
      <c r="AI311" s="21"/>
    </row>
    <row r="312" spans="6:36">
      <c r="F312" s="20">
        <f>Loomakasvatus!C478</f>
        <v>0</v>
      </c>
      <c r="G312">
        <f>Loomakasvatus!D478</f>
        <v>0</v>
      </c>
      <c r="H312">
        <f>IFERROR(VLOOKUP(F312,EFid!$A$243:$B$250,2,FALSE),0)</f>
        <v>0</v>
      </c>
      <c r="I312">
        <f t="shared" si="150"/>
        <v>0</v>
      </c>
      <c r="J312" s="21"/>
      <c r="R312" s="20">
        <f>Loomakasvatus!J477</f>
        <v>0</v>
      </c>
      <c r="S312">
        <f>Loomakasvatus!K477</f>
        <v>0</v>
      </c>
      <c r="T312">
        <f>IFERROR(VLOOKUP(R312,EFid!$A$243:$B$250,2,FALSE),0)</f>
        <v>0</v>
      </c>
      <c r="U312">
        <f t="shared" si="151"/>
        <v>0</v>
      </c>
      <c r="V312" s="21"/>
      <c r="AE312" s="20">
        <f>Loomakasvatus!O476</f>
        <v>0</v>
      </c>
      <c r="AF312">
        <f>Loomakasvatus!P476</f>
        <v>0</v>
      </c>
      <c r="AG312">
        <f>IFERROR(VLOOKUP(AE312,EFid!$A$243:$B$250,2,FALSE),0)</f>
        <v>0</v>
      </c>
      <c r="AH312">
        <f t="shared" si="152"/>
        <v>0</v>
      </c>
      <c r="AI312" s="21"/>
    </row>
    <row r="313" spans="6:36">
      <c r="F313" s="20">
        <f>Loomakasvatus!C479</f>
        <v>0</v>
      </c>
      <c r="G313">
        <f>Loomakasvatus!D479</f>
        <v>0</v>
      </c>
      <c r="H313">
        <f>IFERROR(VLOOKUP(F313,EFid!$A$243:$B$250,2,FALSE),0)</f>
        <v>0</v>
      </c>
      <c r="I313">
        <f t="shared" si="150"/>
        <v>0</v>
      </c>
      <c r="J313" s="21"/>
      <c r="R313" s="20">
        <f>Loomakasvatus!J478</f>
        <v>0</v>
      </c>
      <c r="S313">
        <f>Loomakasvatus!K478</f>
        <v>0</v>
      </c>
      <c r="T313">
        <f>IFERROR(VLOOKUP(R313,EFid!$A$243:$B$250,2,FALSE),0)</f>
        <v>0</v>
      </c>
      <c r="U313">
        <f t="shared" si="151"/>
        <v>0</v>
      </c>
      <c r="V313" s="21"/>
      <c r="AE313" s="20">
        <f>Loomakasvatus!O477</f>
        <v>0</v>
      </c>
      <c r="AF313">
        <f>Loomakasvatus!P477</f>
        <v>0</v>
      </c>
      <c r="AG313">
        <f>IFERROR(VLOOKUP(AE313,EFid!$A$243:$B$250,2,FALSE),0)</f>
        <v>0</v>
      </c>
      <c r="AH313">
        <f t="shared" si="152"/>
        <v>0</v>
      </c>
      <c r="AI313" s="21"/>
    </row>
    <row r="314" spans="6:36">
      <c r="F314" s="20">
        <f>Loomakasvatus!C480</f>
        <v>0</v>
      </c>
      <c r="G314">
        <f>Loomakasvatus!D480</f>
        <v>0</v>
      </c>
      <c r="H314">
        <f>IFERROR(VLOOKUP(F314,EFid!$A$243:$B$250,2,FALSE),0)</f>
        <v>0</v>
      </c>
      <c r="I314">
        <f t="shared" si="150"/>
        <v>0</v>
      </c>
      <c r="J314" s="21"/>
      <c r="R314" s="20">
        <f>Loomakasvatus!J479</f>
        <v>0</v>
      </c>
      <c r="S314">
        <f>Loomakasvatus!K479</f>
        <v>0</v>
      </c>
      <c r="T314">
        <f>IFERROR(VLOOKUP(R314,EFid!$A$243:$B$250,2,FALSE),0)</f>
        <v>0</v>
      </c>
      <c r="U314">
        <f t="shared" si="151"/>
        <v>0</v>
      </c>
      <c r="V314" s="21"/>
      <c r="AE314" s="20">
        <f>Loomakasvatus!O478</f>
        <v>0</v>
      </c>
      <c r="AF314">
        <f>Loomakasvatus!P478</f>
        <v>0</v>
      </c>
      <c r="AG314">
        <f>IFERROR(VLOOKUP(AE314,EFid!$A$243:$B$250,2,FALSE),0)</f>
        <v>0</v>
      </c>
      <c r="AH314">
        <f t="shared" si="152"/>
        <v>0</v>
      </c>
      <c r="AI314" s="21"/>
    </row>
    <row r="315" spans="6:36">
      <c r="F315" s="20">
        <f>Loomakasvatus!C481</f>
        <v>0</v>
      </c>
      <c r="G315">
        <f>Loomakasvatus!D481</f>
        <v>0</v>
      </c>
      <c r="H315">
        <f>IFERROR(VLOOKUP(F315,EFid!$A$243:$B$250,2,FALSE),0)</f>
        <v>0</v>
      </c>
      <c r="I315">
        <f t="shared" si="150"/>
        <v>0</v>
      </c>
      <c r="J315" s="21"/>
      <c r="R315" s="20">
        <f>Loomakasvatus!J480</f>
        <v>0</v>
      </c>
      <c r="S315">
        <f>Loomakasvatus!K480</f>
        <v>0</v>
      </c>
      <c r="T315">
        <f>IFERROR(VLOOKUP(R315,EFid!$A$243:$B$250,2,FALSE),0)</f>
        <v>0</v>
      </c>
      <c r="U315">
        <f t="shared" si="151"/>
        <v>0</v>
      </c>
      <c r="V315" s="21"/>
      <c r="AE315" s="20">
        <f>Loomakasvatus!O479</f>
        <v>0</v>
      </c>
      <c r="AF315">
        <f>Loomakasvatus!P479</f>
        <v>0</v>
      </c>
      <c r="AG315">
        <f>IFERROR(VLOOKUP(AE315,EFid!$A$243:$B$250,2,FALSE),0)</f>
        <v>0</v>
      </c>
      <c r="AH315">
        <f t="shared" si="152"/>
        <v>0</v>
      </c>
      <c r="AI315" s="21"/>
    </row>
    <row r="316" spans="6:36" ht="15" thickBot="1">
      <c r="F316" s="58">
        <f>Loomakasvatus!C482</f>
        <v>0</v>
      </c>
      <c r="G316" s="36">
        <f>Loomakasvatus!D482</f>
        <v>0</v>
      </c>
      <c r="H316" s="36">
        <f>IFERROR(VLOOKUP(F316,EFid!$A$243:$B$250,2,FALSE),0)</f>
        <v>0</v>
      </c>
      <c r="I316" s="36">
        <f t="shared" si="150"/>
        <v>0</v>
      </c>
      <c r="J316" s="37"/>
      <c r="R316" s="20">
        <f>Loomakasvatus!J481</f>
        <v>0</v>
      </c>
      <c r="S316">
        <f>Loomakasvatus!K481</f>
        <v>0</v>
      </c>
      <c r="T316">
        <f>IFERROR(VLOOKUP(R316,EFid!$A$243:$B$250,2,FALSE),0)</f>
        <v>0</v>
      </c>
      <c r="U316">
        <f t="shared" si="151"/>
        <v>0</v>
      </c>
      <c r="V316" s="21"/>
      <c r="AE316" s="20">
        <f>Loomakasvatus!O480</f>
        <v>0</v>
      </c>
      <c r="AF316">
        <f>Loomakasvatus!P480</f>
        <v>0</v>
      </c>
      <c r="AG316">
        <f>IFERROR(VLOOKUP(AE316,EFid!$A$243:$B$250,2,FALSE),0)</f>
        <v>0</v>
      </c>
      <c r="AH316">
        <f t="shared" si="152"/>
        <v>0</v>
      </c>
      <c r="AI316" s="21"/>
    </row>
    <row r="317" spans="6:36" ht="15" thickBot="1">
      <c r="R317" s="58">
        <f>Loomakasvatus!J482</f>
        <v>0</v>
      </c>
      <c r="S317" s="36">
        <f>Loomakasvatus!K482</f>
        <v>0</v>
      </c>
      <c r="T317" s="36">
        <f>IFERROR(VLOOKUP(R317,EFid!$A$243:$B$250,2,FALSE),0)</f>
        <v>0</v>
      </c>
      <c r="U317" s="36">
        <f t="shared" si="151"/>
        <v>0</v>
      </c>
      <c r="V317" s="37"/>
      <c r="AE317" s="20">
        <f>Loomakasvatus!O481</f>
        <v>0</v>
      </c>
      <c r="AF317">
        <f>Loomakasvatus!P481</f>
        <v>0</v>
      </c>
      <c r="AG317">
        <f>IFERROR(VLOOKUP(AE317,EFid!$A$243:$B$250,2,FALSE),0)</f>
        <v>0</v>
      </c>
      <c r="AH317">
        <f t="shared" si="152"/>
        <v>0</v>
      </c>
      <c r="AI317" s="21"/>
    </row>
    <row r="318" spans="6:36" ht="15" thickBot="1">
      <c r="F318" s="90" t="s">
        <v>444</v>
      </c>
      <c r="G318" s="16"/>
      <c r="H318" s="16"/>
      <c r="I318" s="16"/>
      <c r="J318" s="16"/>
      <c r="K318" s="17"/>
      <c r="AE318" s="58">
        <f>Loomakasvatus!O482</f>
        <v>0</v>
      </c>
      <c r="AF318" s="36">
        <f>Loomakasvatus!P482</f>
        <v>0</v>
      </c>
      <c r="AG318" s="36">
        <f>IFERROR(VLOOKUP(AE318,EFid!$A$243:$B$250,2,FALSE),0)</f>
        <v>0</v>
      </c>
      <c r="AH318" s="36">
        <f t="shared" si="152"/>
        <v>0</v>
      </c>
      <c r="AI318" s="37"/>
    </row>
    <row r="319" spans="6:36" ht="15" thickBot="1">
      <c r="F319" s="1068" t="s">
        <v>739</v>
      </c>
      <c r="K319" s="445">
        <f>SUM(J320,J325,J330)</f>
        <v>0</v>
      </c>
      <c r="R319" s="90" t="s">
        <v>444</v>
      </c>
      <c r="S319" s="16"/>
      <c r="T319" s="16"/>
      <c r="U319" s="16"/>
      <c r="V319" s="16"/>
      <c r="W319" s="17"/>
    </row>
    <row r="320" spans="6:36">
      <c r="F320" s="20">
        <f t="shared" ref="F320:G322" si="153">G254</f>
        <v>0</v>
      </c>
      <c r="G320">
        <f t="shared" si="153"/>
        <v>0</v>
      </c>
      <c r="H320" t="str">
        <f>IFERROR(VLOOKUP(F320,EFid!$A$101:$B$124,2,FALSE),"0")</f>
        <v>0</v>
      </c>
      <c r="I320">
        <f>G320*H320</f>
        <v>0</v>
      </c>
      <c r="J320" s="444">
        <f>SUM(I320:I322)</f>
        <v>0</v>
      </c>
      <c r="K320" s="21"/>
      <c r="R320" s="1068" t="s">
        <v>739</v>
      </c>
      <c r="W320" s="445">
        <f>SUM(V321,V326,V331)</f>
        <v>0</v>
      </c>
      <c r="AE320" s="90" t="s">
        <v>444</v>
      </c>
      <c r="AF320" s="16"/>
      <c r="AG320" s="16"/>
      <c r="AH320" s="16"/>
      <c r="AI320" s="16"/>
      <c r="AJ320" s="17"/>
    </row>
    <row r="321" spans="6:36">
      <c r="F321" s="20">
        <f t="shared" si="153"/>
        <v>0</v>
      </c>
      <c r="G321">
        <f t="shared" si="153"/>
        <v>0</v>
      </c>
      <c r="H321" t="str">
        <f>IFERROR(VLOOKUP(F321,EFid!$A$101:$B$124,2,FALSE),"0")</f>
        <v>0</v>
      </c>
      <c r="I321">
        <f t="shared" ref="I321:I322" si="154">G321*H321</f>
        <v>0</v>
      </c>
      <c r="K321" s="21"/>
      <c r="R321" s="20">
        <f t="shared" ref="R321:S323" si="155">S254</f>
        <v>0</v>
      </c>
      <c r="S321">
        <f t="shared" si="155"/>
        <v>0</v>
      </c>
      <c r="T321" t="str">
        <f>IFERROR(VLOOKUP(R321,EFid!$A$101:$B$124,2,FALSE),"0")</f>
        <v>0</v>
      </c>
      <c r="U321">
        <f>S321*T321</f>
        <v>0</v>
      </c>
      <c r="V321" s="444">
        <f>SUM(U321:U323)</f>
        <v>0</v>
      </c>
      <c r="W321" s="21"/>
      <c r="AE321" s="1068" t="s">
        <v>739</v>
      </c>
      <c r="AJ321" s="445">
        <f>SUM(AI322,AI327,AI332)</f>
        <v>0</v>
      </c>
    </row>
    <row r="322" spans="6:36">
      <c r="F322" s="20">
        <f t="shared" si="153"/>
        <v>0</v>
      </c>
      <c r="G322">
        <f t="shared" si="153"/>
        <v>0</v>
      </c>
      <c r="H322" t="str">
        <f>IFERROR(VLOOKUP(F322,EFid!$A$101:$B$124,2,FALSE),"0")</f>
        <v>0</v>
      </c>
      <c r="I322">
        <f t="shared" si="154"/>
        <v>0</v>
      </c>
      <c r="K322" s="21"/>
      <c r="R322" s="20">
        <f t="shared" si="155"/>
        <v>0</v>
      </c>
      <c r="S322">
        <f t="shared" si="155"/>
        <v>0</v>
      </c>
      <c r="T322" t="str">
        <f>IFERROR(VLOOKUP(R322,EFid!$A$101:$B$124,2,FALSE),"0")</f>
        <v>0</v>
      </c>
      <c r="U322">
        <f t="shared" ref="U322:U323" si="156">S322*T322</f>
        <v>0</v>
      </c>
      <c r="W322" s="21"/>
      <c r="AE322" s="20">
        <f t="shared" ref="AE322:AF324" si="157">AF254</f>
        <v>0</v>
      </c>
      <c r="AF322">
        <f t="shared" si="157"/>
        <v>0</v>
      </c>
      <c r="AG322" t="str">
        <f>IFERROR(VLOOKUP(AE322,EFid!$A$101:$B$124,2,FALSE),"0")</f>
        <v>0</v>
      </c>
      <c r="AH322">
        <f>AF322*AG322</f>
        <v>0</v>
      </c>
      <c r="AI322" s="444">
        <f>SUM(AH322:AH324)</f>
        <v>0</v>
      </c>
      <c r="AJ322" s="21"/>
    </row>
    <row r="323" spans="6:36">
      <c r="F323" s="20"/>
      <c r="K323" s="21"/>
      <c r="R323" s="20">
        <f t="shared" si="155"/>
        <v>0</v>
      </c>
      <c r="S323">
        <f t="shared" si="155"/>
        <v>0</v>
      </c>
      <c r="T323" t="str">
        <f>IFERROR(VLOOKUP(R323,EFid!$A$101:$B$124,2,FALSE),"0")</f>
        <v>0</v>
      </c>
      <c r="U323">
        <f t="shared" si="156"/>
        <v>0</v>
      </c>
      <c r="W323" s="21"/>
      <c r="AE323" s="20">
        <f t="shared" si="157"/>
        <v>0</v>
      </c>
      <c r="AF323">
        <f t="shared" si="157"/>
        <v>0</v>
      </c>
      <c r="AG323" t="str">
        <f>IFERROR(VLOOKUP(AE323,EFid!$A$101:$B$124,2,FALSE),"0")</f>
        <v>0</v>
      </c>
      <c r="AH323">
        <f t="shared" ref="AH323:AH324" si="158">AF323*AG323</f>
        <v>0</v>
      </c>
      <c r="AJ323" s="21"/>
    </row>
    <row r="324" spans="6:36">
      <c r="F324" s="1068" t="s">
        <v>455</v>
      </c>
      <c r="K324" s="21"/>
      <c r="R324" s="20"/>
      <c r="W324" s="21"/>
      <c r="AE324" s="20">
        <f t="shared" si="157"/>
        <v>0</v>
      </c>
      <c r="AF324">
        <f t="shared" si="157"/>
        <v>0</v>
      </c>
      <c r="AG324" t="str">
        <f>IFERROR(VLOOKUP(AE324,EFid!$A$101:$B$124,2,FALSE),"0")</f>
        <v>0</v>
      </c>
      <c r="AH324">
        <f t="shared" si="158"/>
        <v>0</v>
      </c>
      <c r="AJ324" s="21"/>
    </row>
    <row r="325" spans="6:36">
      <c r="F325" s="20">
        <f t="shared" ref="F325:G327" si="159">G258</f>
        <v>0</v>
      </c>
      <c r="G325">
        <f t="shared" si="159"/>
        <v>0</v>
      </c>
      <c r="H325" t="str">
        <f>IFERROR(VLOOKUP(F325,EFid!$A$77:$B$94,2,FALSE),"0")</f>
        <v>0</v>
      </c>
      <c r="I325">
        <f>G325*H325</f>
        <v>0</v>
      </c>
      <c r="J325" s="444">
        <f>SUM(I325:I327)</f>
        <v>0</v>
      </c>
      <c r="K325" s="21"/>
      <c r="R325" s="1068" t="s">
        <v>455</v>
      </c>
      <c r="W325" s="21"/>
      <c r="AE325" s="20"/>
      <c r="AJ325" s="21"/>
    </row>
    <row r="326" spans="6:36">
      <c r="F326" s="20">
        <f t="shared" si="159"/>
        <v>0</v>
      </c>
      <c r="G326">
        <f t="shared" si="159"/>
        <v>0</v>
      </c>
      <c r="H326" t="str">
        <f>IFERROR(VLOOKUP(F326,EFid!$A$77:$B$94,2,FALSE),"0")</f>
        <v>0</v>
      </c>
      <c r="I326">
        <f t="shared" ref="I326:I327" si="160">G326*H326</f>
        <v>0</v>
      </c>
      <c r="K326" s="21"/>
      <c r="R326" s="20">
        <f t="shared" ref="R326:S328" si="161">S258</f>
        <v>0</v>
      </c>
      <c r="S326">
        <f t="shared" si="161"/>
        <v>0</v>
      </c>
      <c r="T326" t="str">
        <f>IFERROR(VLOOKUP(R326,EFid!$A$77:$B$94,2,FALSE),"0")</f>
        <v>0</v>
      </c>
      <c r="U326">
        <f>S326*T326</f>
        <v>0</v>
      </c>
      <c r="V326" s="444">
        <f>SUM(U326:U328)</f>
        <v>0</v>
      </c>
      <c r="W326" s="21"/>
      <c r="AE326" s="1068" t="s">
        <v>455</v>
      </c>
      <c r="AJ326" s="21"/>
    </row>
    <row r="327" spans="6:36" ht="15" thickBot="1">
      <c r="F327" s="58">
        <f t="shared" si="159"/>
        <v>0</v>
      </c>
      <c r="G327" s="36">
        <f t="shared" si="159"/>
        <v>0</v>
      </c>
      <c r="H327" s="36" t="str">
        <f>IFERROR(VLOOKUP(F327,EFid!$A$77:$B$94,2,FALSE),"0")</f>
        <v>0</v>
      </c>
      <c r="I327" s="36">
        <f t="shared" si="160"/>
        <v>0</v>
      </c>
      <c r="J327" s="36"/>
      <c r="K327" s="37"/>
      <c r="R327" s="20">
        <f t="shared" si="161"/>
        <v>0</v>
      </c>
      <c r="S327">
        <f t="shared" si="161"/>
        <v>0</v>
      </c>
      <c r="T327" t="str">
        <f>IFERROR(VLOOKUP(R327,EFid!$A$77:$B$94,2,FALSE),"0")</f>
        <v>0</v>
      </c>
      <c r="U327">
        <f t="shared" ref="U327:U328" si="162">S327*T327</f>
        <v>0</v>
      </c>
      <c r="W327" s="21"/>
      <c r="AE327" s="20">
        <f t="shared" ref="AE327:AF329" si="163">AF258</f>
        <v>0</v>
      </c>
      <c r="AF327">
        <f t="shared" si="163"/>
        <v>0</v>
      </c>
      <c r="AG327" t="str">
        <f>IFERROR(VLOOKUP(AE327,EFid!$A$77:$B$94,2,FALSE),"0")</f>
        <v>0</v>
      </c>
      <c r="AH327">
        <f>AF327*AG327</f>
        <v>0</v>
      </c>
      <c r="AI327" s="444">
        <f>SUM(AH327:AH329)</f>
        <v>0</v>
      </c>
      <c r="AJ327" s="21"/>
    </row>
    <row r="328" spans="6:36" ht="15" thickBot="1">
      <c r="R328" s="58">
        <f t="shared" si="161"/>
        <v>0</v>
      </c>
      <c r="S328" s="36">
        <f t="shared" si="161"/>
        <v>0</v>
      </c>
      <c r="T328" s="36" t="str">
        <f>IFERROR(VLOOKUP(R328,EFid!$A$77:$B$94,2,FALSE),"0")</f>
        <v>0</v>
      </c>
      <c r="U328" s="36">
        <f t="shared" si="162"/>
        <v>0</v>
      </c>
      <c r="V328" s="36"/>
      <c r="W328" s="37"/>
      <c r="AE328" s="20">
        <f t="shared" si="163"/>
        <v>0</v>
      </c>
      <c r="AF328">
        <f t="shared" si="163"/>
        <v>0</v>
      </c>
      <c r="AG328" t="str">
        <f>IFERROR(VLOOKUP(AE328,EFid!$A$77:$B$94,2,FALSE),"0")</f>
        <v>0</v>
      </c>
      <c r="AH328">
        <f t="shared" ref="AH328:AH329" si="164">AF328*AG328</f>
        <v>0</v>
      </c>
      <c r="AJ328" s="21"/>
    </row>
    <row r="329" spans="6:36" ht="15" thickBot="1">
      <c r="F329" s="90" t="s">
        <v>1035</v>
      </c>
      <c r="G329" s="16"/>
      <c r="H329" s="17"/>
      <c r="AE329" s="58">
        <f t="shared" si="163"/>
        <v>0</v>
      </c>
      <c r="AF329" s="36">
        <f t="shared" si="163"/>
        <v>0</v>
      </c>
      <c r="AG329" s="36" t="str">
        <f>IFERROR(VLOOKUP(AE329,EFid!$A$77:$B$94,2,FALSE),"0")</f>
        <v>0</v>
      </c>
      <c r="AH329" s="36">
        <f t="shared" si="164"/>
        <v>0</v>
      </c>
      <c r="AI329" s="36"/>
      <c r="AJ329" s="37"/>
    </row>
    <row r="330" spans="6:36" ht="15" thickBot="1">
      <c r="F330" s="58">
        <f>Loomakasvatus!D412</f>
        <v>0</v>
      </c>
      <c r="G330" s="36">
        <f>SUM(EFid!$B$238:$B$239)</f>
        <v>0.42100000000000004</v>
      </c>
      <c r="H330" s="1069">
        <f>F330*G330</f>
        <v>0</v>
      </c>
      <c r="R330" s="90" t="s">
        <v>1035</v>
      </c>
      <c r="S330" s="16"/>
      <c r="T330" s="17"/>
    </row>
    <row r="331" spans="6:36" ht="15" thickBot="1">
      <c r="R331" s="58">
        <f>Loomakasvatus!K412</f>
        <v>0</v>
      </c>
      <c r="S331" s="36">
        <f>SUM(EFid!$B$238:$B$239)</f>
        <v>0.42100000000000004</v>
      </c>
      <c r="T331" s="1069">
        <f>R331*S331</f>
        <v>0</v>
      </c>
      <c r="AE331" s="90" t="s">
        <v>1035</v>
      </c>
      <c r="AF331" s="16"/>
      <c r="AG331" s="17"/>
    </row>
    <row r="332" spans="6:36" ht="15" thickBot="1">
      <c r="AE332" s="58">
        <f>Loomakasvatus!P412</f>
        <v>0</v>
      </c>
      <c r="AF332" s="36">
        <f>SUM(EFid!$B$238:$B$239)</f>
        <v>0.42100000000000004</v>
      </c>
      <c r="AG332" s="1069">
        <f>AE332*AF332</f>
        <v>0</v>
      </c>
    </row>
  </sheetData>
  <sheetProtection algorithmName="SHA-512" hashValue="KnXY+PoBWjoeCPQ5ecN+hPJXt5DGfhqEmafCn3zp5PNRC2s+n8tM71ztl8pZq9AExRxVSbq6A6qK2PTBRoZJVA==" saltValue="RPvd1m7y1j0/ptfrcJTYRA==" spinCount="100000" sheet="1" objects="1" scenarios="1"/>
  <mergeCells count="21">
    <mergeCell ref="A194:D194"/>
    <mergeCell ref="A199:D199"/>
    <mergeCell ref="A219:D219"/>
    <mergeCell ref="A239:D239"/>
    <mergeCell ref="A241:D241"/>
    <mergeCell ref="A251:K251"/>
    <mergeCell ref="M251:W251"/>
    <mergeCell ref="Z251:AJ251"/>
    <mergeCell ref="AY169:BV169"/>
    <mergeCell ref="AY194:BB194"/>
    <mergeCell ref="AY199:BB199"/>
    <mergeCell ref="AY219:BB219"/>
    <mergeCell ref="AY239:BB239"/>
    <mergeCell ref="AY241:BB241"/>
    <mergeCell ref="A169:X169"/>
    <mergeCell ref="Z169:AW169"/>
    <mergeCell ref="Z194:AC194"/>
    <mergeCell ref="Z199:AC199"/>
    <mergeCell ref="Z219:AC219"/>
    <mergeCell ref="Z239:AC239"/>
    <mergeCell ref="Z241:AC241"/>
  </mergeCells>
  <dataValidations disablePrompts="1" count="1">
    <dataValidation allowBlank="1" showInputMessage="1" showErrorMessage="1" prompt="Näiteks kultiveerimine, väetamine, külvamine, taimekaitse, koristus, künd ja randaalimine_x000a_" sqref="A6" xr:uid="{7F4EE821-D9D1-49AB-9C29-F91CB0B2AF70}"/>
  </dataValidations>
  <hyperlinks>
    <hyperlink ref="A184" location="'Atm õhu kaitse määrus'!U5" display="mNjuurdekasv" xr:uid="{B29E401F-779A-431B-8C5A-8454F557FB1B}"/>
    <hyperlink ref="A189" location="'Atm õhu kaitse määrus'!U6" display="mNloode" xr:uid="{14671B24-97C2-446B-B0C5-914494C9B5A9}"/>
    <hyperlink ref="A198" location="'Atm õhu kaitse määrus'!T15" display="qN" xr:uid="{CD7E667A-0AF3-448C-8B2D-3A119235F066}"/>
    <hyperlink ref="A217" location="'Atm õhu kaitse määrus'!K69" display="qCH4laut" xr:uid="{6AC0C409-CCC3-45E0-965E-0FE06B738116}"/>
    <hyperlink ref="A212" location="'Atm õhu kaitse määrus'!A58" display="sk" xr:uid="{BB2A7A50-C0AC-4184-A2E3-13C73ED7E276}"/>
    <hyperlink ref="A216" location="'Atm õhu kaitse määrus'!K19" display="L" xr:uid="{7F2F6382-1AF2-4375-8721-1529C6EC03E5}"/>
    <hyperlink ref="A226" location="'Atm õhu kaitse määrus'!K82" display="ksõnnikuhoidla" xr:uid="{6CF737CF-9B50-4C8A-835C-98936D35E443}"/>
    <hyperlink ref="A231" location="'Atm õhu kaitse määrus'!K92" display="qCH4sõnnikuhoidla" xr:uid="{28023CD0-E019-434C-AC8E-87FC6B1091F3}"/>
    <hyperlink ref="A238" location="'Atm õhu kaitse määrus'!K103" display="ksõnnikuhoidla" xr:uid="{75A39DEE-DB09-4994-B06D-E6651228439F}"/>
    <hyperlink ref="A225" location="'Atm õhu kaitse määrus'!A66" display="MNH3laut" xr:uid="{3B237A01-ADD2-4BE1-9AE5-CC48A22D125A}"/>
    <hyperlink ref="A224" location="'Atm õhu kaitse määrus'!A58" display="sk" xr:uid="{CAE3C1E4-7548-47D9-9B76-8AB93B41D92F}"/>
    <hyperlink ref="A237" location="'Atm õhu kaitse määrus'!A58" display="sk" xr:uid="{6C1326C7-31C8-4356-B50C-4FF8C728805B}"/>
    <hyperlink ref="A230" location="'Atm õhu kaitse määrus'!K19" display="L" xr:uid="{A030D4E8-463D-4522-9764-08BD8E2215A3}"/>
    <hyperlink ref="A232" location="'Atm õhu kaitse määrus'!A58" display="sk" xr:uid="{B6F4979E-97D2-40E8-9B23-67892EA3F51B}"/>
    <hyperlink ref="A244" location="'Atm õhu kaitse määrus'!A66" display="MNH3laut" xr:uid="{E79587A7-CC18-4268-8C77-239D55057556}"/>
    <hyperlink ref="A247" location="'Atm õhu kaitse määrus'!A86" display="MNH3sõnnikuhoidla" xr:uid="{98DA2523-C10B-4FD5-B77C-D70368A94D27}"/>
    <hyperlink ref="Z184" location="'Atm õhu kaitse määrus'!U5" display="mNjuurdekasv" xr:uid="{DB439189-F525-4620-A672-69972AEAAD87}"/>
    <hyperlink ref="Z189" location="'Atm õhu kaitse määrus'!U6" display="mNloode" xr:uid="{51747B4E-EFBF-4547-8C35-4CC00E43F10A}"/>
    <hyperlink ref="Z198" location="'Atm õhu kaitse määrus'!T15" display="qN" xr:uid="{0F046D15-91A5-43DD-9A57-079EB5B16843}"/>
    <hyperlink ref="Z217" location="'Atm õhu kaitse määrus'!K69" display="qCH4laut" xr:uid="{58C94964-8411-46CC-BE64-0E5ED308DFCC}"/>
    <hyperlink ref="Z212" location="'Atm õhu kaitse määrus'!A58" display="sk" xr:uid="{638F2F17-BBD1-4262-9A02-56BBFAFFA8C2}"/>
    <hyperlink ref="Z216" location="'Atm õhu kaitse määrus'!K19" display="L" xr:uid="{4BCB1BDF-6BC5-43D8-8522-876FF2E10953}"/>
    <hyperlink ref="Z226" location="'Atm õhu kaitse määrus'!K82" display="ksõnnikuhoidla" xr:uid="{2C439B83-FF03-46E7-84FE-16BB77B36388}"/>
    <hyperlink ref="Z231" location="'Atm õhu kaitse määrus'!K92" display="qCH4sõnnikuhoidla" xr:uid="{8057231B-7AD1-480A-8B75-FBC89BAD4E4E}"/>
    <hyperlink ref="Z238" location="'Atm õhu kaitse määrus'!K103" display="ksõnnikuhoidla" xr:uid="{0CE43A61-4849-4D73-B01C-FAC5271B3B28}"/>
    <hyperlink ref="Z225" location="'Atm õhu kaitse määrus'!A66" display="MNH3laut" xr:uid="{8FFF4687-800E-4B5A-9BB3-1797D922A690}"/>
    <hyperlink ref="Z224" location="'Atm õhu kaitse määrus'!A58" display="sk" xr:uid="{BDA01BDC-F8AD-4D8C-AA74-C274F05434B2}"/>
    <hyperlink ref="Z237" location="'Atm õhu kaitse määrus'!A58" display="sk" xr:uid="{4DFBD3BC-5A74-4E36-A404-1513BB98E91B}"/>
    <hyperlink ref="Z230" location="'Atm õhu kaitse määrus'!K19" display="L" xr:uid="{7F03C12D-456E-4849-804A-75E771FAE487}"/>
    <hyperlink ref="Z232" location="'Atm õhu kaitse määrus'!A58" display="sk" xr:uid="{F1B03753-068B-4FED-A272-E344616ADCCA}"/>
    <hyperlink ref="Z244" location="'Atm õhu kaitse määrus'!A66" display="MNH3laut" xr:uid="{FE077868-EFB4-4565-851C-407B0431599E}"/>
    <hyperlink ref="Z247" location="'Atm õhu kaitse määrus'!A86" display="MNH3sõnnikuhoidla" xr:uid="{8990EBC1-2522-46B8-8B03-DABCD8B66F04}"/>
    <hyperlink ref="AY184" location="'Atm õhu kaitse määrus'!U5" display="mNjuurdekasv" xr:uid="{133E0FC7-B3BD-4815-8AD5-4F926CEF70BA}"/>
    <hyperlink ref="AY189" location="'Atm õhu kaitse määrus'!U6" display="mNloode" xr:uid="{AB240C8F-954D-4FBB-881B-298E1D99554F}"/>
    <hyperlink ref="AY198" location="'Atm õhu kaitse määrus'!T15" display="qN" xr:uid="{2E91F424-FC3A-465F-93C8-5EB2A32A2218}"/>
    <hyperlink ref="AY217" location="'Atm õhu kaitse määrus'!K69" display="qCH4laut" xr:uid="{0C89A8FC-0579-4C1C-9003-A0CFBB94A020}"/>
    <hyperlink ref="AY212" location="'Atm õhu kaitse määrus'!A58" display="sk" xr:uid="{0BDADB6A-5551-445B-B1EA-B773636B7548}"/>
    <hyperlink ref="AY216" location="'Atm õhu kaitse määrus'!K19" display="L" xr:uid="{50CEC419-759B-424D-944E-5DCFCCC5D996}"/>
    <hyperlink ref="AY226" location="'Atm õhu kaitse määrus'!K82" display="ksõnnikuhoidla" xr:uid="{C5681F59-1FE1-4A11-9E75-CEA04D7CFB09}"/>
    <hyperlink ref="AY231" location="'Atm õhu kaitse määrus'!K92" display="qCH4sõnnikuhoidla" xr:uid="{74D2AAE5-F151-48FE-A38C-B9B2CDA34813}"/>
    <hyperlink ref="AY238" location="'Atm õhu kaitse määrus'!K103" display="ksõnnikuhoidla" xr:uid="{C4722053-EC90-4746-8181-608CA1FDA426}"/>
    <hyperlink ref="AY225" location="'Atm õhu kaitse määrus'!A66" display="MNH3laut" xr:uid="{320AEDFA-CADA-445C-B1A5-CBA565FFCEFF}"/>
    <hyperlink ref="AY224" location="'Atm õhu kaitse määrus'!A58" display="sk" xr:uid="{28BDBED3-C10B-423F-A1EB-96D203B66554}"/>
    <hyperlink ref="AY237" location="'Atm õhu kaitse määrus'!A58" display="sk" xr:uid="{2FC0FBB8-42A5-46A8-B5C7-DF1D2D07D1DD}"/>
    <hyperlink ref="AY230" location="'Atm õhu kaitse määrus'!K19" display="L" xr:uid="{35002C70-DC09-4C70-A691-CF0BF0151B66}"/>
    <hyperlink ref="AY232" location="'Atm õhu kaitse määrus'!A58" display="sk" xr:uid="{FB2A6A71-4BDC-4250-BF62-8178B7462BCE}"/>
    <hyperlink ref="AY244" location="'Atm õhu kaitse määrus'!A66" display="MNH3laut" xr:uid="{B796CB9B-FC77-4F2C-B5DD-BA770414AFDD}"/>
    <hyperlink ref="AY247" location="'Atm õhu kaitse määrus'!A86" display="MNH3sõnnikuhoidla" xr:uid="{CD8627C5-70C2-4035-B165-C760F4020152}"/>
    <hyperlink ref="A254" location="Lambad!N119" display="EF (T)" xr:uid="{14C82B9F-D174-4C64-A39C-8DB963E6C600}"/>
    <hyperlink ref="A258" location="Lambad!N126" display="EF S" xr:uid="{6BADB0CC-2F5C-44F2-9C0D-382EC96C2691}"/>
    <hyperlink ref="A264" location="Lambad!N146" display="N rate (T)" xr:uid="{264A20CD-4241-47DF-9F06-645DCB658CA8}"/>
    <hyperlink ref="A270" location="Lambad!A147" display="Nex (T)" xr:uid="{65DBD8BE-8CCC-4064-ADDD-181CBA2E18C7}"/>
    <hyperlink ref="A272" location="Lambad!N152" display="EF3 (S)" xr:uid="{5747546A-00A1-4006-BD08-65A85A40D96B}"/>
    <hyperlink ref="A278" location="Lambad!A147" display="Nex (T)" xr:uid="{284D4FC5-0BCD-4B4B-8460-8F8F51980A7A}"/>
    <hyperlink ref="A280" location="Lambad!N173" display="Frac gasMS" xr:uid="{C6D044D4-0199-4664-9611-1657734B17A7}"/>
    <hyperlink ref="A283" location="Lambad!A171" display="N volatilization-MMS" xr:uid="{630751DF-D8D2-4EA2-8471-90B130A12CC1}"/>
    <hyperlink ref="M254" location="Lambad!N119" display="EF (T)" xr:uid="{28F91759-77CA-42F9-A1D0-5880BAB5AD9E}"/>
    <hyperlink ref="M258" location="Lambad!N126" display="EF S" xr:uid="{3BBC6ABF-9BF7-4966-BC8A-C3CBED8D2B3E}"/>
    <hyperlink ref="M264" location="Lambad!N146" display="N rate (T)" xr:uid="{DA9DFD8B-1CCA-453B-A08D-7EE550F77868}"/>
    <hyperlink ref="M270" location="Lambad!A147" display="Nex (T)" xr:uid="{18B6677A-382B-450F-A96E-A5DA8FD4AD0E}"/>
    <hyperlink ref="M272" location="Lambad!N152" display="EF3 (S)" xr:uid="{7D307842-5971-4949-B5B7-2D64E2BE4B7F}"/>
    <hyperlink ref="M278" location="Lambad!A147" display="Nex (T)" xr:uid="{5B6B79EA-8D08-44E8-98F2-F463E846B914}"/>
    <hyperlink ref="M280" location="Lambad!N173" display="Frac gasMS" xr:uid="{1080F9AB-0DDE-4F8D-8B30-84B6BB68DBCA}"/>
    <hyperlink ref="M283" location="Lambad!A171" display="N volatilization-MMS" xr:uid="{E0D9820E-11F1-415B-BFAB-BCC2CE7A75E0}"/>
    <hyperlink ref="Z254" location="Lambad!N119" display="EF (T)" xr:uid="{730535E1-19A7-44FE-A517-5CF6C4288455}"/>
    <hyperlink ref="Z258" location="Lambad!N126" display="EF S" xr:uid="{30FFE600-B2F0-48B5-A396-8DEBEE257B2F}"/>
    <hyperlink ref="Z264" location="Lambad!N146" display="N rate (T)" xr:uid="{E2F2D70D-C741-4A8F-AF1F-5AC4F27E50C4}"/>
    <hyperlink ref="Z270" location="Lambad!A147" display="Nex (T)" xr:uid="{C9FC2C96-68CD-4678-86D6-06E68BE0D174}"/>
    <hyperlink ref="Z272" location="Lambad!N152" display="EF3 (S)" xr:uid="{9335604D-8A6E-4734-ABCB-50B427339FD3}"/>
    <hyperlink ref="Z278" location="Lambad!A147" display="Nex (T)" xr:uid="{50954C43-EF08-4E46-B3D8-D306BBE39B15}"/>
    <hyperlink ref="Z280" location="Lambad!N173" display="Frac gasMS" xr:uid="{99298D88-4AC9-4A2E-A57A-137EA6E48A86}"/>
    <hyperlink ref="Z283" location="Lambad!A171" display="N volatilization-MMS" xr:uid="{3F210638-F776-4D95-8A0F-C0D87F6A67D0}"/>
  </hyperlink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2D510-7D26-46ED-8A39-088F0E3121A9}">
  <sheetPr codeName="Sheet17">
    <pageSetUpPr autoPageBreaks="0"/>
  </sheetPr>
  <dimension ref="B1:Z69"/>
  <sheetViews>
    <sheetView zoomScale="50" zoomScaleNormal="50" workbookViewId="0">
      <selection activeCell="G18" sqref="G18"/>
    </sheetView>
  </sheetViews>
  <sheetFormatPr defaultColWidth="8.54296875" defaultRowHeight="14.5"/>
  <cols>
    <col min="2" max="2" width="23.453125" customWidth="1"/>
    <col min="3" max="3" width="46.453125" customWidth="1"/>
    <col min="4" max="4" width="53.54296875" customWidth="1"/>
    <col min="5" max="5" width="46.453125" customWidth="1"/>
    <col min="6" max="6" width="34.54296875" customWidth="1"/>
    <col min="7" max="7" width="37.453125" customWidth="1"/>
    <col min="8" max="8" width="23.453125" customWidth="1"/>
    <col min="9" max="9" width="32.453125" customWidth="1"/>
    <col min="10" max="10" width="50.453125" customWidth="1"/>
    <col min="11" max="11" width="23.453125" customWidth="1"/>
    <col min="12" max="12" width="42" customWidth="1"/>
    <col min="13" max="13" width="22.453125" customWidth="1"/>
    <col min="14" max="15" width="24.453125" customWidth="1"/>
    <col min="16" max="16" width="27" customWidth="1"/>
    <col min="17" max="26" width="21.453125" customWidth="1"/>
  </cols>
  <sheetData>
    <row r="1" spans="2:26" ht="50">
      <c r="B1" s="210"/>
      <c r="C1" s="207" t="s">
        <v>2</v>
      </c>
      <c r="D1" s="1135" t="s">
        <v>1036</v>
      </c>
      <c r="E1" s="1131"/>
      <c r="F1" s="208"/>
      <c r="G1" s="208"/>
      <c r="H1" s="208"/>
      <c r="I1" s="210"/>
      <c r="J1" s="210"/>
      <c r="K1" s="210"/>
      <c r="L1" s="210"/>
      <c r="M1" s="210"/>
      <c r="N1" s="210"/>
      <c r="O1" s="210"/>
      <c r="P1" s="210"/>
      <c r="Q1" s="210"/>
      <c r="R1" s="210"/>
      <c r="S1" s="210"/>
      <c r="T1" s="210"/>
      <c r="U1" s="210"/>
      <c r="V1" s="210"/>
      <c r="W1" s="210"/>
      <c r="X1" s="210"/>
      <c r="Y1" s="210"/>
      <c r="Z1" s="210"/>
    </row>
    <row r="2" spans="2:26" ht="25">
      <c r="B2" s="210"/>
      <c r="C2" s="209" t="s">
        <v>8</v>
      </c>
      <c r="D2" s="1136" t="e">
        <f>Taimekasvatus!F5</f>
        <v>#DIV/0!</v>
      </c>
      <c r="E2" s="1132"/>
      <c r="F2" s="210"/>
      <c r="G2" s="210"/>
      <c r="H2" s="210"/>
      <c r="I2" s="210"/>
      <c r="J2" s="210"/>
      <c r="K2" s="210"/>
      <c r="L2" s="210"/>
      <c r="M2" s="210"/>
      <c r="N2" s="210"/>
      <c r="O2" s="210"/>
      <c r="P2" s="210"/>
      <c r="Q2" s="210"/>
      <c r="R2" s="210"/>
      <c r="S2" s="210"/>
      <c r="T2" s="210"/>
      <c r="U2" s="210"/>
      <c r="V2" s="210"/>
      <c r="W2" s="210"/>
      <c r="X2" s="210"/>
      <c r="Y2" s="210"/>
      <c r="Z2" s="210"/>
    </row>
    <row r="3" spans="2:26" ht="25">
      <c r="B3" s="210"/>
      <c r="C3" s="211" t="s">
        <v>10</v>
      </c>
      <c r="D3" s="1136" t="e">
        <f>Taimekasvatus!F6</f>
        <v>#DIV/0!</v>
      </c>
      <c r="E3" s="1132"/>
      <c r="F3" s="210"/>
      <c r="G3" s="210"/>
      <c r="H3" s="210"/>
      <c r="I3" s="210"/>
      <c r="J3" s="210"/>
      <c r="K3" s="210"/>
      <c r="L3" s="210"/>
      <c r="M3" s="210"/>
      <c r="N3" s="210"/>
      <c r="O3" s="210"/>
      <c r="P3" s="210"/>
      <c r="Q3" s="210"/>
      <c r="R3" s="210"/>
      <c r="S3" s="210"/>
      <c r="T3" s="210"/>
      <c r="U3" s="210"/>
      <c r="V3" s="210"/>
      <c r="W3" s="210"/>
      <c r="X3" s="210"/>
      <c r="Y3" s="210"/>
      <c r="Z3" s="210"/>
    </row>
    <row r="4" spans="2:26" ht="26">
      <c r="B4" s="210"/>
      <c r="C4" s="1134" t="s">
        <v>11</v>
      </c>
      <c r="D4" s="1136" t="e">
        <f>Taimekasvatus!F7</f>
        <v>#DIV/0!</v>
      </c>
      <c r="E4" s="1133"/>
      <c r="G4" s="1088"/>
      <c r="H4" s="210"/>
      <c r="I4" s="210"/>
      <c r="J4" s="210"/>
      <c r="K4" s="210"/>
      <c r="L4" s="210"/>
      <c r="M4" s="210"/>
      <c r="N4" s="210"/>
      <c r="O4" s="210"/>
      <c r="P4" s="210"/>
      <c r="Q4" s="210"/>
      <c r="R4" s="210"/>
      <c r="S4" s="210"/>
      <c r="T4" s="210"/>
      <c r="U4" s="210"/>
      <c r="V4" s="210"/>
      <c r="W4" s="210"/>
      <c r="X4" s="210"/>
      <c r="Y4" s="210"/>
      <c r="Z4" s="210"/>
    </row>
    <row r="5" spans="2:26" ht="25">
      <c r="B5" s="210"/>
      <c r="C5" s="212" t="s">
        <v>12</v>
      </c>
      <c r="D5" s="1137" t="e">
        <f>Taimekasvatus!F8</f>
        <v>#DIV/0!</v>
      </c>
      <c r="E5" s="1132"/>
      <c r="F5" s="210"/>
      <c r="G5" s="210"/>
      <c r="H5" s="210"/>
      <c r="I5" s="210"/>
      <c r="J5" s="210"/>
      <c r="K5" s="210"/>
      <c r="L5" s="210"/>
      <c r="M5" s="210"/>
      <c r="N5" s="210"/>
      <c r="O5" s="210"/>
      <c r="P5" s="210"/>
      <c r="Q5" s="210"/>
      <c r="R5" s="210"/>
      <c r="S5" s="210"/>
      <c r="T5" s="210"/>
      <c r="U5" s="210"/>
      <c r="V5" s="210"/>
      <c r="W5" s="210"/>
      <c r="X5" s="210"/>
      <c r="Y5" s="210"/>
      <c r="Z5" s="210"/>
    </row>
    <row r="6" spans="2:26" ht="25">
      <c r="B6" s="210"/>
      <c r="C6" s="213" t="s">
        <v>13</v>
      </c>
      <c r="D6" s="1136" t="e">
        <f>Taimekasvatus!F9</f>
        <v>#DIV/0!</v>
      </c>
      <c r="E6" s="1132"/>
      <c r="F6" s="210"/>
      <c r="G6" s="210"/>
      <c r="H6" s="210"/>
      <c r="I6" s="210"/>
      <c r="J6" s="210"/>
      <c r="K6" s="210"/>
      <c r="L6" s="210"/>
      <c r="M6" s="210"/>
      <c r="N6" s="210"/>
      <c r="O6" s="210"/>
      <c r="P6" s="210"/>
      <c r="Q6" s="210"/>
      <c r="R6" s="210"/>
      <c r="S6" s="210"/>
      <c r="T6" s="210"/>
      <c r="U6" s="210"/>
      <c r="V6" s="210"/>
      <c r="W6" s="210"/>
      <c r="X6" s="210"/>
      <c r="Y6" s="210"/>
      <c r="Z6" s="210"/>
    </row>
    <row r="7" spans="2:26" ht="25">
      <c r="B7" s="210"/>
      <c r="C7" s="214" t="s">
        <v>14</v>
      </c>
      <c r="D7" s="1138" t="e">
        <f>Taimekasvatus!F10</f>
        <v>#DIV/0!</v>
      </c>
      <c r="E7" s="1132"/>
      <c r="F7" s="210"/>
      <c r="G7" s="210"/>
      <c r="H7" s="210"/>
      <c r="I7" s="210"/>
      <c r="J7" s="210"/>
      <c r="K7" s="210"/>
      <c r="L7" s="210"/>
      <c r="M7" s="210"/>
      <c r="N7" s="210"/>
      <c r="O7" s="210"/>
      <c r="P7" s="210"/>
      <c r="Q7" s="210"/>
      <c r="R7" s="210"/>
      <c r="S7" s="210"/>
      <c r="T7" s="210"/>
      <c r="U7" s="210"/>
      <c r="V7" s="210"/>
      <c r="W7" s="210"/>
      <c r="X7" s="210"/>
      <c r="Y7" s="210"/>
      <c r="Z7" s="210"/>
    </row>
    <row r="8" spans="2:26" ht="20">
      <c r="B8" s="215"/>
      <c r="C8" s="215"/>
      <c r="D8" s="215"/>
      <c r="E8" s="215"/>
      <c r="F8" s="215"/>
      <c r="G8" s="215"/>
      <c r="H8" s="215"/>
      <c r="I8" s="215"/>
      <c r="J8" s="215"/>
      <c r="K8" s="215"/>
      <c r="L8" s="215"/>
      <c r="M8" s="215"/>
      <c r="N8" s="215"/>
      <c r="O8" s="215"/>
      <c r="P8" s="215"/>
      <c r="Q8" s="215"/>
      <c r="R8" s="215"/>
      <c r="S8" s="215"/>
      <c r="T8" s="215"/>
      <c r="U8" s="215"/>
      <c r="V8" s="215"/>
      <c r="W8" s="215"/>
      <c r="X8" s="215"/>
      <c r="Y8" s="215"/>
      <c r="Z8" s="215"/>
    </row>
    <row r="9" spans="2:26" ht="20">
      <c r="B9" s="215"/>
      <c r="C9" s="215"/>
      <c r="D9" s="215"/>
      <c r="E9" s="215"/>
      <c r="F9" s="215"/>
      <c r="G9" s="215"/>
      <c r="H9" s="215"/>
      <c r="I9" s="215"/>
      <c r="J9" s="215"/>
      <c r="K9" s="215"/>
      <c r="L9" s="215"/>
      <c r="M9" s="215"/>
      <c r="N9" s="215"/>
      <c r="O9" s="215"/>
      <c r="P9" s="215"/>
      <c r="Q9" s="215"/>
      <c r="R9" s="215"/>
      <c r="S9" s="215"/>
      <c r="T9" s="215"/>
      <c r="U9" s="215"/>
      <c r="V9" s="215"/>
      <c r="W9" s="215"/>
      <c r="X9" s="215"/>
      <c r="Y9" s="215"/>
      <c r="Z9" s="215"/>
    </row>
    <row r="10" spans="2:26" ht="22.5">
      <c r="B10" s="215"/>
      <c r="C10" s="219"/>
      <c r="D10" s="245"/>
      <c r="E10" s="219"/>
      <c r="F10" s="219"/>
      <c r="G10" s="219"/>
      <c r="H10" s="219"/>
      <c r="I10" s="219"/>
      <c r="J10" s="219"/>
      <c r="K10" s="219"/>
      <c r="L10" s="219"/>
      <c r="M10" s="219"/>
      <c r="N10" s="219"/>
      <c r="O10" s="219"/>
      <c r="P10" s="219"/>
      <c r="Q10" s="219"/>
      <c r="R10" s="219"/>
      <c r="S10" s="219"/>
      <c r="T10" s="219"/>
      <c r="U10" s="219"/>
      <c r="V10" s="219"/>
      <c r="W10" s="219"/>
      <c r="X10" s="219"/>
      <c r="Y10" s="219"/>
      <c r="Z10" s="219"/>
    </row>
    <row r="11" spans="2:26" ht="22.5">
      <c r="B11" s="215"/>
      <c r="C11" s="219"/>
      <c r="D11" s="245"/>
      <c r="E11" s="219"/>
      <c r="F11" s="219"/>
      <c r="G11" s="219"/>
      <c r="H11" s="219"/>
      <c r="I11" s="219"/>
      <c r="J11" s="219"/>
      <c r="K11" s="219"/>
      <c r="L11" s="219"/>
      <c r="M11" s="219"/>
      <c r="N11" s="219"/>
      <c r="O11" s="219"/>
      <c r="P11" s="363"/>
      <c r="Q11" s="363"/>
      <c r="R11" s="363"/>
      <c r="S11" s="363"/>
      <c r="T11" s="363"/>
      <c r="U11" s="363"/>
      <c r="V11" s="363"/>
      <c r="W11" s="363"/>
      <c r="X11" s="363"/>
      <c r="Y11" s="219"/>
      <c r="Z11" s="219"/>
    </row>
    <row r="12" spans="2:26" ht="23.5" thickBot="1">
      <c r="B12" s="215"/>
      <c r="C12" s="218"/>
      <c r="D12" s="218"/>
      <c r="E12" s="218"/>
      <c r="F12" s="218"/>
      <c r="G12" s="218"/>
      <c r="H12" s="218"/>
      <c r="I12" s="219"/>
      <c r="J12" s="226"/>
      <c r="K12" s="226"/>
      <c r="L12" s="219"/>
      <c r="M12" s="219"/>
      <c r="N12" s="219"/>
      <c r="O12" s="219"/>
      <c r="P12" s="219" t="s">
        <v>1037</v>
      </c>
      <c r="Q12" s="219"/>
      <c r="R12" s="219"/>
      <c r="S12" s="219" t="s">
        <v>1038</v>
      </c>
      <c r="T12" s="219"/>
      <c r="U12" s="220"/>
      <c r="V12" s="219" t="s">
        <v>1039</v>
      </c>
      <c r="W12" s="219"/>
      <c r="X12" s="219"/>
      <c r="Y12" s="219"/>
      <c r="Z12" s="219"/>
    </row>
    <row r="13" spans="2:26" ht="138">
      <c r="B13" s="215"/>
      <c r="C13" s="218"/>
      <c r="D13" s="216" t="s">
        <v>1040</v>
      </c>
      <c r="E13" s="227" t="s">
        <v>1041</v>
      </c>
      <c r="F13" s="227" t="s">
        <v>1042</v>
      </c>
      <c r="G13" s="228" t="s">
        <v>1043</v>
      </c>
      <c r="H13" s="226"/>
      <c r="I13" s="358" t="s">
        <v>1044</v>
      </c>
      <c r="J13" s="1129" t="s">
        <v>1045</v>
      </c>
      <c r="K13" s="229"/>
      <c r="L13" s="216" t="s">
        <v>1046</v>
      </c>
      <c r="M13" s="230" t="s">
        <v>1047</v>
      </c>
      <c r="N13" s="1130" t="s">
        <v>1048</v>
      </c>
      <c r="O13" s="229"/>
      <c r="P13" s="231" t="s">
        <v>1049</v>
      </c>
      <c r="Q13" s="217" t="s">
        <v>1050</v>
      </c>
      <c r="R13" s="228" t="s">
        <v>1051</v>
      </c>
      <c r="S13" s="231" t="s">
        <v>1052</v>
      </c>
      <c r="T13" s="217" t="s">
        <v>1053</v>
      </c>
      <c r="U13" s="228" t="s">
        <v>1054</v>
      </c>
      <c r="V13" s="231" t="s">
        <v>1055</v>
      </c>
      <c r="W13" s="217" t="s">
        <v>1056</v>
      </c>
      <c r="X13" s="228" t="s">
        <v>1054</v>
      </c>
      <c r="Y13" s="232"/>
      <c r="Z13" s="233" t="s">
        <v>1057</v>
      </c>
    </row>
    <row r="14" spans="2:26" ht="23.9" customHeight="1">
      <c r="B14" s="1352" t="s">
        <v>1058</v>
      </c>
      <c r="C14" s="234" t="s">
        <v>1059</v>
      </c>
      <c r="D14" s="235" t="str">
        <f>Taimekasvatus!G19</f>
        <v>Talinisu</v>
      </c>
      <c r="E14" s="219">
        <f>Taimekasvatus!G22</f>
        <v>0</v>
      </c>
      <c r="F14" s="219">
        <f>Taimekasvatus!G20</f>
        <v>0</v>
      </c>
      <c r="G14" s="236">
        <f>1-Taimekasvatus!G23</f>
        <v>1</v>
      </c>
      <c r="H14" s="219"/>
      <c r="I14" s="359">
        <f>Taimekasvatus!G26</f>
        <v>0</v>
      </c>
      <c r="J14" s="360">
        <f>Taimekasvatus!G27</f>
        <v>0</v>
      </c>
      <c r="K14" s="219"/>
      <c r="L14" s="235">
        <f>Taimekasvatus!G28</f>
        <v>0</v>
      </c>
      <c r="M14" s="219">
        <v>1</v>
      </c>
      <c r="N14" s="236">
        <f>Taimekasvatus!G29</f>
        <v>0</v>
      </c>
      <c r="O14" s="238"/>
      <c r="P14" s="219" t="s">
        <v>1037</v>
      </c>
      <c r="Q14" s="219">
        <f>Taimekasvatus!G37/1000</f>
        <v>0</v>
      </c>
      <c r="R14" s="236">
        <f>IFERROR(Taimekasvatus!G$38/Taimekasvatus!G$22,0)</f>
        <v>0</v>
      </c>
      <c r="S14" s="219" t="s">
        <v>1038</v>
      </c>
      <c r="T14" s="219">
        <f>Taimekasvatus!G39/1000</f>
        <v>0</v>
      </c>
      <c r="U14" s="236">
        <f>IFERROR(Taimekasvatus!G$40/Taimekasvatus!G$22,0)</f>
        <v>0</v>
      </c>
      <c r="V14" s="219" t="s">
        <v>1039</v>
      </c>
      <c r="W14" s="219">
        <f>Taimekasvatus!G$41/1000</f>
        <v>0</v>
      </c>
      <c r="X14" s="236">
        <f>IFERROR(Taimekasvatus!G$42/Taimekasvatus!G$22,0)</f>
        <v>0</v>
      </c>
      <c r="Y14" s="236"/>
      <c r="Z14" s="238" t="str">
        <f>Taimekasvatus!G24</f>
        <v>ei</v>
      </c>
    </row>
    <row r="15" spans="2:26" ht="23.5">
      <c r="B15" s="1352"/>
      <c r="C15" s="234" t="s">
        <v>1060</v>
      </c>
      <c r="D15" s="235">
        <f>Taimekasvatus!H19</f>
        <v>0</v>
      </c>
      <c r="E15" s="219">
        <f>Taimekasvatus!H22</f>
        <v>0</v>
      </c>
      <c r="F15" s="219">
        <f>Taimekasvatus!H20</f>
        <v>0</v>
      </c>
      <c r="G15" s="236">
        <f>1-Taimekasvatus!H23</f>
        <v>1</v>
      </c>
      <c r="H15" s="219"/>
      <c r="I15" s="359">
        <f>Taimekasvatus!H26</f>
        <v>0</v>
      </c>
      <c r="J15" s="360">
        <f>Taimekasvatus!H27</f>
        <v>0</v>
      </c>
      <c r="K15" s="219"/>
      <c r="L15" s="237">
        <f>Taimekasvatus!H28</f>
        <v>0</v>
      </c>
      <c r="M15" s="219">
        <v>1</v>
      </c>
      <c r="N15" s="236">
        <f>Taimekasvatus!H29</f>
        <v>0</v>
      </c>
      <c r="O15" s="238"/>
      <c r="P15" s="219" t="s">
        <v>1037</v>
      </c>
      <c r="Q15" s="219">
        <f>Taimekasvatus!H37/1000</f>
        <v>0</v>
      </c>
      <c r="R15" s="236">
        <f>IFERROR(Taimekasvatus!H$38/Taimekasvatus!H$22,0)</f>
        <v>0</v>
      </c>
      <c r="S15" s="219" t="s">
        <v>1038</v>
      </c>
      <c r="T15" s="219">
        <f>Taimekasvatus!H39/1000</f>
        <v>0</v>
      </c>
      <c r="U15" s="236">
        <f>IFERROR(Taimekasvatus!H$40/Taimekasvatus!H$22,0)</f>
        <v>0</v>
      </c>
      <c r="V15" s="219" t="s">
        <v>1039</v>
      </c>
      <c r="W15" s="219">
        <f>Taimekasvatus!H$41/1000</f>
        <v>0</v>
      </c>
      <c r="X15" s="236">
        <f>IFERROR(Taimekasvatus!H$42/Taimekasvatus!H$22,0)</f>
        <v>0</v>
      </c>
      <c r="Y15" s="238"/>
      <c r="Z15" s="238" t="str">
        <f>Taimekasvatus!H24</f>
        <v>ei</v>
      </c>
    </row>
    <row r="16" spans="2:26" ht="23.5">
      <c r="B16" s="1352"/>
      <c r="C16" s="234" t="s">
        <v>1061</v>
      </c>
      <c r="D16" s="235">
        <f>Taimekasvatus!I19</f>
        <v>0</v>
      </c>
      <c r="E16" s="219">
        <f>Taimekasvatus!I22</f>
        <v>0</v>
      </c>
      <c r="F16" s="219">
        <f>Taimekasvatus!I20</f>
        <v>0</v>
      </c>
      <c r="G16" s="236">
        <f>1-Taimekasvatus!I23</f>
        <v>1</v>
      </c>
      <c r="H16" s="219"/>
      <c r="I16" s="359">
        <f>Taimekasvatus!I26</f>
        <v>0</v>
      </c>
      <c r="J16" s="360">
        <f>Taimekasvatus!I27</f>
        <v>0</v>
      </c>
      <c r="K16" s="219"/>
      <c r="L16" s="237">
        <f>Taimekasvatus!I28</f>
        <v>0</v>
      </c>
      <c r="M16" s="219">
        <v>1</v>
      </c>
      <c r="N16" s="236">
        <f>Taimekasvatus!I29</f>
        <v>0</v>
      </c>
      <c r="O16" s="238"/>
      <c r="P16" s="219" t="s">
        <v>1037</v>
      </c>
      <c r="Q16" s="219">
        <f>Taimekasvatus!I37/1000</f>
        <v>0</v>
      </c>
      <c r="R16" s="236">
        <f>IFERROR(Taimekasvatus!I$38/Taimekasvatus!I$22,0)</f>
        <v>0</v>
      </c>
      <c r="S16" s="219" t="s">
        <v>1038</v>
      </c>
      <c r="T16" s="219">
        <f>Taimekasvatus!I39/1000</f>
        <v>0</v>
      </c>
      <c r="U16" s="236">
        <f>IFERROR(Taimekasvatus!I$40/Taimekasvatus!I$22,0)</f>
        <v>0</v>
      </c>
      <c r="V16" s="219" t="s">
        <v>1039</v>
      </c>
      <c r="W16" s="219">
        <f>Taimekasvatus!I$41/1000</f>
        <v>0</v>
      </c>
      <c r="X16" s="236">
        <f>IFERROR(Taimekasvatus!I$42/Taimekasvatus!I$22,0)</f>
        <v>0</v>
      </c>
      <c r="Y16" s="236"/>
      <c r="Z16" s="238" t="str">
        <f>Taimekasvatus!I24</f>
        <v>ei</v>
      </c>
    </row>
    <row r="17" spans="2:26" ht="23.5">
      <c r="B17" s="1352"/>
      <c r="C17" s="234" t="s">
        <v>1062</v>
      </c>
      <c r="D17" s="235">
        <f>Taimekasvatus!J19</f>
        <v>0</v>
      </c>
      <c r="E17" s="219">
        <f>Taimekasvatus!J22</f>
        <v>0</v>
      </c>
      <c r="F17" s="219">
        <f>Taimekasvatus!J20</f>
        <v>0</v>
      </c>
      <c r="G17" s="236">
        <f>1-Taimekasvatus!J23</f>
        <v>1</v>
      </c>
      <c r="H17" s="219"/>
      <c r="I17" s="359">
        <f>Taimekasvatus!J26</f>
        <v>0</v>
      </c>
      <c r="J17" s="360">
        <f>Taimekasvatus!J27</f>
        <v>0</v>
      </c>
      <c r="K17" s="219"/>
      <c r="L17" s="237">
        <f>Taimekasvatus!J28</f>
        <v>0</v>
      </c>
      <c r="M17" s="219">
        <v>1</v>
      </c>
      <c r="N17" s="236">
        <f>Taimekasvatus!J29</f>
        <v>0</v>
      </c>
      <c r="O17" s="238"/>
      <c r="P17" s="219" t="s">
        <v>1037</v>
      </c>
      <c r="Q17" s="219">
        <f>Taimekasvatus!J37/1000</f>
        <v>0</v>
      </c>
      <c r="R17" s="236">
        <f>IFERROR(Taimekasvatus!J$38/Taimekasvatus!J$22,0)</f>
        <v>0</v>
      </c>
      <c r="S17" s="219" t="s">
        <v>1038</v>
      </c>
      <c r="T17" s="219">
        <f>Taimekasvatus!J39/1000</f>
        <v>0</v>
      </c>
      <c r="U17" s="236">
        <f>IFERROR(Taimekasvatus!J$40/Taimekasvatus!J$22,0)</f>
        <v>0</v>
      </c>
      <c r="V17" s="219" t="s">
        <v>1039</v>
      </c>
      <c r="W17" s="219">
        <f>Taimekasvatus!J$41/1000</f>
        <v>0</v>
      </c>
      <c r="X17" s="236">
        <f>IFERROR(Taimekasvatus!J$42/Taimekasvatus!J$22,0)</f>
        <v>0</v>
      </c>
      <c r="Y17" s="236"/>
      <c r="Z17" s="238" t="str">
        <f>Taimekasvatus!J24</f>
        <v>ei</v>
      </c>
    </row>
    <row r="18" spans="2:26" ht="23.5">
      <c r="B18" s="1352"/>
      <c r="C18" s="234" t="s">
        <v>1063</v>
      </c>
      <c r="D18" s="235">
        <f>Taimekasvatus!K19</f>
        <v>0</v>
      </c>
      <c r="E18" s="219">
        <f>Taimekasvatus!K22</f>
        <v>0</v>
      </c>
      <c r="F18" s="219">
        <f>Taimekasvatus!K20</f>
        <v>0</v>
      </c>
      <c r="G18" s="236">
        <f>1-Taimekasvatus!K23</f>
        <v>1</v>
      </c>
      <c r="H18" s="219"/>
      <c r="I18" s="359">
        <f>Taimekasvatus!K26</f>
        <v>0</v>
      </c>
      <c r="J18" s="360">
        <f>Taimekasvatus!K27</f>
        <v>0</v>
      </c>
      <c r="K18" s="219"/>
      <c r="L18" s="237">
        <f>Taimekasvatus!K28</f>
        <v>0</v>
      </c>
      <c r="M18" s="219">
        <v>1</v>
      </c>
      <c r="N18" s="236">
        <f>Taimekasvatus!K29</f>
        <v>0</v>
      </c>
      <c r="O18" s="238"/>
      <c r="P18" s="219" t="s">
        <v>1037</v>
      </c>
      <c r="Q18" s="219">
        <f>Taimekasvatus!K37/1000</f>
        <v>0</v>
      </c>
      <c r="R18" s="236">
        <f>IFERROR(Taimekasvatus!K$38/Taimekasvatus!K$22,0)</f>
        <v>0</v>
      </c>
      <c r="S18" s="219" t="s">
        <v>1038</v>
      </c>
      <c r="T18" s="219">
        <f>Taimekasvatus!K39/1000</f>
        <v>0</v>
      </c>
      <c r="U18" s="236">
        <f>IFERROR(Taimekasvatus!K$40/Taimekasvatus!K$22,0)</f>
        <v>0</v>
      </c>
      <c r="V18" s="219" t="s">
        <v>1039</v>
      </c>
      <c r="W18" s="219">
        <f>Taimekasvatus!K$41/1000</f>
        <v>0</v>
      </c>
      <c r="X18" s="236">
        <f>IFERROR(Taimekasvatus!K$42/Taimekasvatus!K$22,0)</f>
        <v>0</v>
      </c>
      <c r="Y18" s="236"/>
      <c r="Z18" s="238" t="str">
        <f>Taimekasvatus!K24</f>
        <v>ei</v>
      </c>
    </row>
    <row r="19" spans="2:26" ht="23.5">
      <c r="B19" s="1352"/>
      <c r="C19" s="234" t="s">
        <v>1064</v>
      </c>
      <c r="D19" s="235">
        <f>Taimekasvatus!L19</f>
        <v>0</v>
      </c>
      <c r="E19" s="219">
        <f>Taimekasvatus!L22</f>
        <v>0</v>
      </c>
      <c r="F19" s="219">
        <f>Taimekasvatus!L20</f>
        <v>0</v>
      </c>
      <c r="G19" s="236">
        <f>1-Taimekasvatus!L23</f>
        <v>1</v>
      </c>
      <c r="H19" s="219"/>
      <c r="I19" s="359">
        <f>Taimekasvatus!L26</f>
        <v>0</v>
      </c>
      <c r="J19" s="360">
        <f>Taimekasvatus!L27</f>
        <v>0</v>
      </c>
      <c r="K19" s="219"/>
      <c r="L19" s="237">
        <f>Taimekasvatus!L28</f>
        <v>0</v>
      </c>
      <c r="M19" s="219">
        <v>1</v>
      </c>
      <c r="N19" s="236">
        <f>Taimekasvatus!L29</f>
        <v>0</v>
      </c>
      <c r="O19" s="238"/>
      <c r="P19" s="219" t="s">
        <v>1037</v>
      </c>
      <c r="Q19" s="219">
        <f>Taimekasvatus!L37/1000</f>
        <v>0</v>
      </c>
      <c r="R19" s="236">
        <f>IFERROR(Taimekasvatus!L$38/Taimekasvatus!L$22,0)</f>
        <v>0</v>
      </c>
      <c r="S19" s="219" t="s">
        <v>1038</v>
      </c>
      <c r="T19" s="219">
        <f>Taimekasvatus!L39/1000</f>
        <v>0</v>
      </c>
      <c r="U19" s="236">
        <f>IFERROR(Taimekasvatus!L$40/Taimekasvatus!L$22,0)</f>
        <v>0</v>
      </c>
      <c r="V19" s="219" t="s">
        <v>1039</v>
      </c>
      <c r="W19" s="219">
        <f>Taimekasvatus!L$41/1000</f>
        <v>0</v>
      </c>
      <c r="X19" s="236">
        <f>IFERROR(Taimekasvatus!L$42/Taimekasvatus!L$22,0)</f>
        <v>0</v>
      </c>
      <c r="Y19" s="236"/>
      <c r="Z19" s="238" t="str">
        <f>Taimekasvatus!L24</f>
        <v>ei</v>
      </c>
    </row>
    <row r="20" spans="2:26" ht="23.5">
      <c r="B20" s="1352"/>
      <c r="C20" s="234" t="s">
        <v>1065</v>
      </c>
      <c r="D20" s="235">
        <f>Taimekasvatus!M19</f>
        <v>0</v>
      </c>
      <c r="E20" s="219">
        <f>Taimekasvatus!M22</f>
        <v>0</v>
      </c>
      <c r="F20" s="219">
        <f>Taimekasvatus!M20</f>
        <v>0</v>
      </c>
      <c r="G20" s="236">
        <f>1-Taimekasvatus!M23</f>
        <v>1</v>
      </c>
      <c r="H20" s="219"/>
      <c r="I20" s="359">
        <f>Taimekasvatus!M26</f>
        <v>0</v>
      </c>
      <c r="J20" s="360">
        <f>Taimekasvatus!M27</f>
        <v>0</v>
      </c>
      <c r="K20" s="219"/>
      <c r="L20" s="237">
        <f>Taimekasvatus!M28</f>
        <v>0</v>
      </c>
      <c r="M20" s="219">
        <v>1</v>
      </c>
      <c r="N20" s="236">
        <f>Taimekasvatus!M29</f>
        <v>0</v>
      </c>
      <c r="O20" s="238"/>
      <c r="P20" s="219" t="s">
        <v>1037</v>
      </c>
      <c r="Q20" s="219">
        <f>Taimekasvatus!M37/1000</f>
        <v>0</v>
      </c>
      <c r="R20" s="236">
        <f>IFERROR(Taimekasvatus!M$38/Taimekasvatus!M$22,0)</f>
        <v>0</v>
      </c>
      <c r="S20" s="219" t="s">
        <v>1038</v>
      </c>
      <c r="T20" s="219">
        <f>Taimekasvatus!M39/1000</f>
        <v>0</v>
      </c>
      <c r="U20" s="236">
        <f>IFERROR(Taimekasvatus!M$40/Taimekasvatus!M$22,0)</f>
        <v>0</v>
      </c>
      <c r="V20" s="219" t="s">
        <v>1039</v>
      </c>
      <c r="W20" s="219">
        <f>Taimekasvatus!M$41/1000</f>
        <v>0</v>
      </c>
      <c r="X20" s="236">
        <f>IFERROR(Taimekasvatus!M$42/Taimekasvatus!M$22,0)</f>
        <v>0</v>
      </c>
      <c r="Y20" s="236"/>
      <c r="Z20" s="238" t="str">
        <f>Taimekasvatus!M24</f>
        <v>ei</v>
      </c>
    </row>
    <row r="21" spans="2:26" ht="23.5">
      <c r="B21" s="1352"/>
      <c r="C21" s="234" t="s">
        <v>1066</v>
      </c>
      <c r="D21" s="235">
        <f>Taimekasvatus!N19</f>
        <v>0</v>
      </c>
      <c r="E21" s="219">
        <f>Taimekasvatus!N22</f>
        <v>0</v>
      </c>
      <c r="F21" s="219">
        <f>Taimekasvatus!N20</f>
        <v>0</v>
      </c>
      <c r="G21" s="236">
        <f>1-Taimekasvatus!N23</f>
        <v>1</v>
      </c>
      <c r="H21" s="219"/>
      <c r="I21" s="359">
        <f>Taimekasvatus!N26</f>
        <v>0</v>
      </c>
      <c r="J21" s="360">
        <f>Taimekasvatus!N27</f>
        <v>0</v>
      </c>
      <c r="K21" s="219"/>
      <c r="L21" s="237">
        <f>Taimekasvatus!N28</f>
        <v>0</v>
      </c>
      <c r="M21" s="219">
        <v>1</v>
      </c>
      <c r="N21" s="236">
        <f>Taimekasvatus!N29</f>
        <v>0</v>
      </c>
      <c r="O21" s="238"/>
      <c r="P21" s="219" t="s">
        <v>1037</v>
      </c>
      <c r="Q21" s="219">
        <f>Taimekasvatus!N37/1000</f>
        <v>0</v>
      </c>
      <c r="R21" s="236">
        <f>IFERROR(Taimekasvatus!N$38/Taimekasvatus!N$22,0)</f>
        <v>0</v>
      </c>
      <c r="S21" s="219" t="s">
        <v>1038</v>
      </c>
      <c r="T21" s="219">
        <f>Taimekasvatus!N39/1000</f>
        <v>0</v>
      </c>
      <c r="U21" s="236">
        <f>IFERROR(Taimekasvatus!N$40/Taimekasvatus!N$22,0)</f>
        <v>0</v>
      </c>
      <c r="V21" s="219" t="s">
        <v>1039</v>
      </c>
      <c r="W21" s="219">
        <f>Taimekasvatus!N$41/1000</f>
        <v>0</v>
      </c>
      <c r="X21" s="236">
        <f>IFERROR(Taimekasvatus!N$42/Taimekasvatus!N$22,0)</f>
        <v>0</v>
      </c>
      <c r="Y21" s="236"/>
      <c r="Z21" s="238" t="str">
        <f>Taimekasvatus!N24</f>
        <v>ei</v>
      </c>
    </row>
    <row r="22" spans="2:26" ht="23.5">
      <c r="B22" s="1352"/>
      <c r="C22" s="234" t="s">
        <v>1067</v>
      </c>
      <c r="D22" s="235">
        <f>Taimekasvatus!O19</f>
        <v>0</v>
      </c>
      <c r="E22" s="219">
        <f>Taimekasvatus!O22</f>
        <v>0</v>
      </c>
      <c r="F22" s="219">
        <f>Taimekasvatus!O20</f>
        <v>0</v>
      </c>
      <c r="G22" s="236">
        <f>1-Taimekasvatus!O23</f>
        <v>1</v>
      </c>
      <c r="H22" s="219"/>
      <c r="I22" s="359">
        <f>Taimekasvatus!O26</f>
        <v>0</v>
      </c>
      <c r="J22" s="360">
        <f>Taimekasvatus!O27</f>
        <v>0</v>
      </c>
      <c r="K22" s="219"/>
      <c r="L22" s="237">
        <f>Taimekasvatus!O28</f>
        <v>0</v>
      </c>
      <c r="M22" s="219">
        <v>1</v>
      </c>
      <c r="N22" s="236">
        <f>Taimekasvatus!O29</f>
        <v>0</v>
      </c>
      <c r="O22" s="238"/>
      <c r="P22" s="219" t="s">
        <v>1037</v>
      </c>
      <c r="Q22" s="219">
        <f>Taimekasvatus!O37/1000</f>
        <v>0</v>
      </c>
      <c r="R22" s="236">
        <f>IFERROR(Taimekasvatus!O$38/Taimekasvatus!O$22,0)</f>
        <v>0</v>
      </c>
      <c r="S22" s="219" t="s">
        <v>1038</v>
      </c>
      <c r="T22" s="219">
        <f>Taimekasvatus!O39/1000</f>
        <v>0</v>
      </c>
      <c r="U22" s="236">
        <f>IFERROR(Taimekasvatus!O$40/Taimekasvatus!O$22,0)</f>
        <v>0</v>
      </c>
      <c r="V22" s="219" t="s">
        <v>1039</v>
      </c>
      <c r="W22" s="219">
        <f>Taimekasvatus!O$41/1000</f>
        <v>0</v>
      </c>
      <c r="X22" s="236">
        <f>IFERROR(Taimekasvatus!O$42/Taimekasvatus!O$22,0)</f>
        <v>0</v>
      </c>
      <c r="Y22" s="236"/>
      <c r="Z22" s="238" t="str">
        <f>Taimekasvatus!O24</f>
        <v>ei</v>
      </c>
    </row>
    <row r="23" spans="2:26" ht="23.5">
      <c r="B23" s="1352"/>
      <c r="C23" s="234" t="s">
        <v>1068</v>
      </c>
      <c r="D23" s="235">
        <f>Taimekasvatus!P19</f>
        <v>0</v>
      </c>
      <c r="E23" s="219">
        <f>Taimekasvatus!P22</f>
        <v>0</v>
      </c>
      <c r="F23" s="219">
        <f>Taimekasvatus!P20</f>
        <v>0</v>
      </c>
      <c r="G23" s="236">
        <f>1-Taimekasvatus!P23</f>
        <v>1</v>
      </c>
      <c r="H23" s="219"/>
      <c r="I23" s="359">
        <f>Taimekasvatus!P26</f>
        <v>0</v>
      </c>
      <c r="J23" s="360">
        <f>Taimekasvatus!P27</f>
        <v>0</v>
      </c>
      <c r="K23" s="219"/>
      <c r="L23" s="237">
        <f>Taimekasvatus!P28</f>
        <v>0</v>
      </c>
      <c r="M23" s="219">
        <v>1</v>
      </c>
      <c r="N23" s="236">
        <f>Taimekasvatus!P29</f>
        <v>0</v>
      </c>
      <c r="O23" s="238"/>
      <c r="P23" s="219" t="s">
        <v>1037</v>
      </c>
      <c r="Q23" s="219">
        <f>Taimekasvatus!P37/1000</f>
        <v>0</v>
      </c>
      <c r="R23" s="236">
        <f>IFERROR(Taimekasvatus!P$38/Taimekasvatus!P$22,0)</f>
        <v>0</v>
      </c>
      <c r="S23" s="219" t="s">
        <v>1038</v>
      </c>
      <c r="T23" s="219">
        <f>Taimekasvatus!P39/1000</f>
        <v>0</v>
      </c>
      <c r="U23" s="236">
        <f>IFERROR(Taimekasvatus!P$40/Taimekasvatus!P$22,0)</f>
        <v>0</v>
      </c>
      <c r="V23" s="219" t="s">
        <v>1039</v>
      </c>
      <c r="W23" s="219">
        <f>Taimekasvatus!P$41/1000</f>
        <v>0</v>
      </c>
      <c r="X23" s="236">
        <f>IFERROR(Taimekasvatus!P$42/Taimekasvatus!P$22,0)</f>
        <v>0</v>
      </c>
      <c r="Y23" s="236"/>
      <c r="Z23" s="238" t="str">
        <f>Taimekasvatus!P24</f>
        <v>ei</v>
      </c>
    </row>
    <row r="24" spans="2:26" ht="23.5">
      <c r="B24" s="1352"/>
      <c r="C24" s="234" t="s">
        <v>1069</v>
      </c>
      <c r="D24" s="235">
        <f>Taimekasvatus!Q19</f>
        <v>0</v>
      </c>
      <c r="E24" s="219">
        <f>Taimekasvatus!Q22</f>
        <v>0</v>
      </c>
      <c r="F24" s="219">
        <f>Taimekasvatus!Q20</f>
        <v>0</v>
      </c>
      <c r="G24" s="236">
        <f>1-Taimekasvatus!Q23</f>
        <v>1</v>
      </c>
      <c r="H24" s="219"/>
      <c r="I24" s="359">
        <f>Taimekasvatus!Q26</f>
        <v>0</v>
      </c>
      <c r="J24" s="360">
        <f>Taimekasvatus!Q27</f>
        <v>0</v>
      </c>
      <c r="K24" s="219"/>
      <c r="L24" s="237">
        <f>Taimekasvatus!Q28</f>
        <v>0</v>
      </c>
      <c r="M24" s="219">
        <v>1</v>
      </c>
      <c r="N24" s="236">
        <f>Taimekasvatus!Q29</f>
        <v>0</v>
      </c>
      <c r="O24" s="238"/>
      <c r="P24" s="219" t="s">
        <v>1037</v>
      </c>
      <c r="Q24" s="219">
        <f>Taimekasvatus!Q37/1000</f>
        <v>0</v>
      </c>
      <c r="R24" s="236">
        <f>IFERROR(Taimekasvatus!Q$38/Taimekasvatus!Q$22,0)</f>
        <v>0</v>
      </c>
      <c r="S24" s="219" t="s">
        <v>1038</v>
      </c>
      <c r="T24" s="219">
        <f>Taimekasvatus!Q39/1000</f>
        <v>0</v>
      </c>
      <c r="U24" s="236">
        <f>IFERROR(Taimekasvatus!Q$40/Taimekasvatus!Q$22,0)</f>
        <v>0</v>
      </c>
      <c r="V24" s="219" t="s">
        <v>1039</v>
      </c>
      <c r="W24" s="219">
        <f>Taimekasvatus!Q$41/1000</f>
        <v>0</v>
      </c>
      <c r="X24" s="236">
        <f>IFERROR(Taimekasvatus!Q$42/Taimekasvatus!Q$22,0)</f>
        <v>0</v>
      </c>
      <c r="Y24" s="236"/>
      <c r="Z24" s="238" t="str">
        <f>Taimekasvatus!Q24</f>
        <v>ei</v>
      </c>
    </row>
    <row r="25" spans="2:26" ht="23.5">
      <c r="B25" s="1352"/>
      <c r="C25" s="234" t="s">
        <v>1070</v>
      </c>
      <c r="D25" s="235">
        <f>Taimekasvatus!R19</f>
        <v>0</v>
      </c>
      <c r="E25" s="219">
        <f>Taimekasvatus!R22</f>
        <v>0</v>
      </c>
      <c r="F25" s="219">
        <f>Taimekasvatus!R20</f>
        <v>0</v>
      </c>
      <c r="G25" s="236">
        <f>1-Taimekasvatus!R23</f>
        <v>1</v>
      </c>
      <c r="H25" s="219"/>
      <c r="I25" s="359">
        <f>Taimekasvatus!R26</f>
        <v>0</v>
      </c>
      <c r="J25" s="360">
        <f>Taimekasvatus!R27</f>
        <v>0</v>
      </c>
      <c r="K25" s="219"/>
      <c r="L25" s="237">
        <f>Taimekasvatus!R28</f>
        <v>0</v>
      </c>
      <c r="M25" s="219">
        <v>1</v>
      </c>
      <c r="N25" s="236">
        <f>Taimekasvatus!R29</f>
        <v>0</v>
      </c>
      <c r="O25" s="238"/>
      <c r="P25" s="219" t="s">
        <v>1037</v>
      </c>
      <c r="Q25" s="219">
        <f>Taimekasvatus!R37/1000</f>
        <v>0</v>
      </c>
      <c r="R25" s="236">
        <f>IFERROR(Taimekasvatus!R$38/Taimekasvatus!R$22,0)</f>
        <v>0</v>
      </c>
      <c r="S25" s="219" t="s">
        <v>1038</v>
      </c>
      <c r="T25" s="219">
        <f>Taimekasvatus!R39/1000</f>
        <v>0</v>
      </c>
      <c r="U25" s="236">
        <f>IFERROR(Taimekasvatus!R$40/Taimekasvatus!R$22,0)</f>
        <v>0</v>
      </c>
      <c r="V25" s="219" t="s">
        <v>1039</v>
      </c>
      <c r="W25" s="219">
        <f>Taimekasvatus!R$41/1000</f>
        <v>0</v>
      </c>
      <c r="X25" s="236">
        <f>IFERROR(Taimekasvatus!R$42/Taimekasvatus!R$22,0)</f>
        <v>0</v>
      </c>
      <c r="Y25" s="236"/>
      <c r="Z25" s="238" t="str">
        <f>Taimekasvatus!R24</f>
        <v>ei</v>
      </c>
    </row>
    <row r="26" spans="2:26" ht="23.5">
      <c r="B26" s="1352"/>
      <c r="C26" s="234" t="s">
        <v>1071</v>
      </c>
      <c r="D26" s="235">
        <f>Taimekasvatus!S19</f>
        <v>0</v>
      </c>
      <c r="E26" s="219">
        <f>Taimekasvatus!S22</f>
        <v>0</v>
      </c>
      <c r="F26" s="219">
        <f>Taimekasvatus!S20</f>
        <v>0</v>
      </c>
      <c r="G26" s="236">
        <f>1-Taimekasvatus!S23</f>
        <v>1</v>
      </c>
      <c r="H26" s="219"/>
      <c r="I26" s="359">
        <f>Taimekasvatus!S26</f>
        <v>0</v>
      </c>
      <c r="J26" s="360">
        <f>Taimekasvatus!S27</f>
        <v>0</v>
      </c>
      <c r="K26" s="219"/>
      <c r="L26" s="237">
        <f>Taimekasvatus!S28</f>
        <v>0</v>
      </c>
      <c r="M26" s="219">
        <v>1</v>
      </c>
      <c r="N26" s="236">
        <f>Taimekasvatus!S29</f>
        <v>0</v>
      </c>
      <c r="O26" s="238"/>
      <c r="P26" s="219" t="s">
        <v>1037</v>
      </c>
      <c r="Q26" s="219">
        <f>Taimekasvatus!S37/1000</f>
        <v>0</v>
      </c>
      <c r="R26" s="236">
        <f>IFERROR(Taimekasvatus!S$38/Taimekasvatus!S$22,0)</f>
        <v>0</v>
      </c>
      <c r="S26" s="219" t="s">
        <v>1038</v>
      </c>
      <c r="T26" s="219">
        <f>Taimekasvatus!S39/1000</f>
        <v>0</v>
      </c>
      <c r="U26" s="236">
        <f>IFERROR(Taimekasvatus!S$40/Taimekasvatus!S$22,0)</f>
        <v>0</v>
      </c>
      <c r="V26" s="219" t="s">
        <v>1039</v>
      </c>
      <c r="W26" s="219">
        <f>Taimekasvatus!S$41/1000</f>
        <v>0</v>
      </c>
      <c r="X26" s="236">
        <f>IFERROR(Taimekasvatus!S$42/Taimekasvatus!S$22,0)</f>
        <v>0</v>
      </c>
      <c r="Y26" s="236"/>
      <c r="Z26" s="238" t="str">
        <f>Taimekasvatus!S24</f>
        <v>ei</v>
      </c>
    </row>
    <row r="27" spans="2:26" ht="23.5">
      <c r="B27" s="1352"/>
      <c r="C27" s="234" t="s">
        <v>1072</v>
      </c>
      <c r="D27" s="235">
        <f>Taimekasvatus!T19</f>
        <v>0</v>
      </c>
      <c r="E27" s="219">
        <f>Taimekasvatus!T22</f>
        <v>0</v>
      </c>
      <c r="F27" s="219">
        <f>Taimekasvatus!T20</f>
        <v>0</v>
      </c>
      <c r="G27" s="236">
        <f>1-Taimekasvatus!T23</f>
        <v>1</v>
      </c>
      <c r="H27" s="219"/>
      <c r="I27" s="359">
        <f>Taimekasvatus!T26</f>
        <v>0</v>
      </c>
      <c r="J27" s="360">
        <f>Taimekasvatus!T27</f>
        <v>0</v>
      </c>
      <c r="K27" s="219"/>
      <c r="L27" s="237">
        <f>Taimekasvatus!T28</f>
        <v>0</v>
      </c>
      <c r="M27" s="219">
        <v>1</v>
      </c>
      <c r="N27" s="236">
        <f>Taimekasvatus!T29</f>
        <v>0</v>
      </c>
      <c r="O27" s="238"/>
      <c r="P27" s="219" t="s">
        <v>1037</v>
      </c>
      <c r="Q27" s="219">
        <f>Taimekasvatus!T37/1000</f>
        <v>0</v>
      </c>
      <c r="R27" s="236">
        <f>IFERROR(Taimekasvatus!T$38/Taimekasvatus!T$22,0)</f>
        <v>0</v>
      </c>
      <c r="S27" s="219" t="s">
        <v>1038</v>
      </c>
      <c r="T27" s="219">
        <f>Taimekasvatus!T39/1000</f>
        <v>0</v>
      </c>
      <c r="U27" s="236">
        <f>IFERROR(Taimekasvatus!T$40/Taimekasvatus!T$22,0)</f>
        <v>0</v>
      </c>
      <c r="V27" s="219" t="s">
        <v>1039</v>
      </c>
      <c r="W27" s="219">
        <f>Taimekasvatus!T$41/1000</f>
        <v>0</v>
      </c>
      <c r="X27" s="236">
        <f>IFERROR(Taimekasvatus!T$42/Taimekasvatus!T$22,0)</f>
        <v>0</v>
      </c>
      <c r="Y27" s="236"/>
      <c r="Z27" s="238" t="str">
        <f>Taimekasvatus!T24</f>
        <v>ei</v>
      </c>
    </row>
    <row r="28" spans="2:26" ht="23.5">
      <c r="B28" s="1352"/>
      <c r="C28" s="234" t="s">
        <v>1073</v>
      </c>
      <c r="D28" s="235">
        <f>Taimekasvatus!U19</f>
        <v>0</v>
      </c>
      <c r="E28" s="219">
        <f>Taimekasvatus!U22</f>
        <v>0</v>
      </c>
      <c r="F28" s="219">
        <f>Taimekasvatus!U20</f>
        <v>0</v>
      </c>
      <c r="G28" s="236">
        <f>1-Taimekasvatus!U23</f>
        <v>1</v>
      </c>
      <c r="H28" s="219"/>
      <c r="I28" s="359">
        <f>Taimekasvatus!U26</f>
        <v>0</v>
      </c>
      <c r="J28" s="360">
        <f>Taimekasvatus!U27</f>
        <v>0</v>
      </c>
      <c r="K28" s="219"/>
      <c r="L28" s="237">
        <f>Taimekasvatus!U28</f>
        <v>0</v>
      </c>
      <c r="M28" s="219">
        <v>1</v>
      </c>
      <c r="N28" s="236">
        <f>Taimekasvatus!U29</f>
        <v>0</v>
      </c>
      <c r="O28" s="238"/>
      <c r="P28" s="219" t="s">
        <v>1037</v>
      </c>
      <c r="Q28" s="219">
        <f>Taimekasvatus!U37/1000</f>
        <v>0</v>
      </c>
      <c r="R28" s="236">
        <f>IFERROR(Taimekasvatus!U$38/Taimekasvatus!U$22,0)</f>
        <v>0</v>
      </c>
      <c r="S28" s="219" t="s">
        <v>1038</v>
      </c>
      <c r="T28" s="219">
        <f>Taimekasvatus!U39/1000</f>
        <v>0</v>
      </c>
      <c r="U28" s="236">
        <f>IFERROR(Taimekasvatus!U$40/Taimekasvatus!U$22,0)</f>
        <v>0</v>
      </c>
      <c r="V28" s="219" t="s">
        <v>1039</v>
      </c>
      <c r="W28" s="219">
        <f>Taimekasvatus!U$41/1000</f>
        <v>0</v>
      </c>
      <c r="X28" s="236">
        <f>IFERROR(Taimekasvatus!U$42/Taimekasvatus!U$22,0)</f>
        <v>0</v>
      </c>
      <c r="Y28" s="236"/>
      <c r="Z28" s="238" t="str">
        <f>Taimekasvatus!U24</f>
        <v>ei</v>
      </c>
    </row>
    <row r="29" spans="2:26" ht="23.5">
      <c r="B29" s="1352"/>
      <c r="C29" s="234" t="s">
        <v>1074</v>
      </c>
      <c r="D29" s="235">
        <f>Taimekasvatus!V19</f>
        <v>0</v>
      </c>
      <c r="E29" s="219">
        <f>Taimekasvatus!V22</f>
        <v>0</v>
      </c>
      <c r="F29" s="219">
        <f>Taimekasvatus!V20</f>
        <v>0</v>
      </c>
      <c r="G29" s="236">
        <f>1-Taimekasvatus!V23</f>
        <v>1</v>
      </c>
      <c r="H29" s="219"/>
      <c r="I29" s="359">
        <f>Taimekasvatus!V26</f>
        <v>0</v>
      </c>
      <c r="J29" s="360">
        <f>Taimekasvatus!V27</f>
        <v>0</v>
      </c>
      <c r="K29" s="219"/>
      <c r="L29" s="237">
        <f>Taimekasvatus!V28</f>
        <v>0</v>
      </c>
      <c r="M29" s="219">
        <v>1</v>
      </c>
      <c r="N29" s="236">
        <f>Taimekasvatus!V29</f>
        <v>0</v>
      </c>
      <c r="O29" s="238"/>
      <c r="P29" s="219" t="s">
        <v>1037</v>
      </c>
      <c r="Q29" s="219">
        <f>Taimekasvatus!V37/1000</f>
        <v>0</v>
      </c>
      <c r="R29" s="236">
        <f>IFERROR(Taimekasvatus!V$38/Taimekasvatus!V$22,0)</f>
        <v>0</v>
      </c>
      <c r="S29" s="219" t="s">
        <v>1038</v>
      </c>
      <c r="T29" s="219">
        <f>Taimekasvatus!V39/1000</f>
        <v>0</v>
      </c>
      <c r="U29" s="236">
        <f>IFERROR(Taimekasvatus!V$40/Taimekasvatus!V$22,0)</f>
        <v>0</v>
      </c>
      <c r="V29" s="219" t="s">
        <v>1039</v>
      </c>
      <c r="W29" s="219">
        <f>Taimekasvatus!V$41/1000</f>
        <v>0</v>
      </c>
      <c r="X29" s="236">
        <f>IFERROR(Taimekasvatus!V$42/Taimekasvatus!V$22,0)</f>
        <v>0</v>
      </c>
      <c r="Y29" s="236"/>
      <c r="Z29" s="238" t="str">
        <f>Taimekasvatus!V24</f>
        <v>ei</v>
      </c>
    </row>
    <row r="30" spans="2:26" ht="23.5">
      <c r="B30" s="1352"/>
      <c r="C30" s="234" t="s">
        <v>1075</v>
      </c>
      <c r="D30" s="235">
        <f>Taimekasvatus!W19</f>
        <v>0</v>
      </c>
      <c r="E30" s="219">
        <f>Taimekasvatus!W22</f>
        <v>0</v>
      </c>
      <c r="F30" s="219">
        <f>Taimekasvatus!W20</f>
        <v>0</v>
      </c>
      <c r="G30" s="236">
        <f>1-Taimekasvatus!W23</f>
        <v>1</v>
      </c>
      <c r="H30" s="219"/>
      <c r="I30" s="359">
        <f>Taimekasvatus!W26</f>
        <v>0</v>
      </c>
      <c r="J30" s="360">
        <f>Taimekasvatus!W27</f>
        <v>0</v>
      </c>
      <c r="K30" s="219"/>
      <c r="L30" s="237">
        <f>Taimekasvatus!W28</f>
        <v>0</v>
      </c>
      <c r="M30" s="219">
        <v>1</v>
      </c>
      <c r="N30" s="236">
        <f>Taimekasvatus!W29</f>
        <v>0</v>
      </c>
      <c r="O30" s="238"/>
      <c r="P30" s="219" t="s">
        <v>1037</v>
      </c>
      <c r="Q30" s="219">
        <f>Taimekasvatus!W37/1000</f>
        <v>0</v>
      </c>
      <c r="R30" s="236">
        <f>IFERROR(Taimekasvatus!W$38/Taimekasvatus!W$22,0)</f>
        <v>0</v>
      </c>
      <c r="S30" s="219" t="s">
        <v>1038</v>
      </c>
      <c r="T30" s="219">
        <f>Taimekasvatus!W39/1000</f>
        <v>0</v>
      </c>
      <c r="U30" s="236">
        <f>IFERROR(Taimekasvatus!W$40/Taimekasvatus!W$22,0)</f>
        <v>0</v>
      </c>
      <c r="V30" s="219" t="s">
        <v>1039</v>
      </c>
      <c r="W30" s="219">
        <f>Taimekasvatus!W$41/1000</f>
        <v>0</v>
      </c>
      <c r="X30" s="236">
        <f>IFERROR(Taimekasvatus!W$42/Taimekasvatus!W$22,0)</f>
        <v>0</v>
      </c>
      <c r="Y30" s="236"/>
      <c r="Z30" s="238" t="str">
        <f>Taimekasvatus!W24</f>
        <v>ei</v>
      </c>
    </row>
    <row r="31" spans="2:26" ht="23.5">
      <c r="B31" s="1352"/>
      <c r="C31" s="234" t="s">
        <v>1076</v>
      </c>
      <c r="D31" s="235">
        <f>Taimekasvatus!X19</f>
        <v>0</v>
      </c>
      <c r="E31" s="219">
        <f>Taimekasvatus!X22</f>
        <v>0</v>
      </c>
      <c r="F31" s="219">
        <f>Taimekasvatus!X20</f>
        <v>0</v>
      </c>
      <c r="G31" s="236">
        <f>1-Taimekasvatus!X23</f>
        <v>1</v>
      </c>
      <c r="H31" s="219"/>
      <c r="I31" s="359">
        <f>Taimekasvatus!X26</f>
        <v>0</v>
      </c>
      <c r="J31" s="360">
        <f>Taimekasvatus!X27</f>
        <v>0</v>
      </c>
      <c r="K31" s="219"/>
      <c r="L31" s="237">
        <f>Taimekasvatus!X28</f>
        <v>0</v>
      </c>
      <c r="M31" s="219">
        <v>1</v>
      </c>
      <c r="N31" s="236">
        <f>Taimekasvatus!X29</f>
        <v>0</v>
      </c>
      <c r="O31" s="238"/>
      <c r="P31" s="219" t="s">
        <v>1037</v>
      </c>
      <c r="Q31" s="219">
        <f>Taimekasvatus!X37/1000</f>
        <v>0</v>
      </c>
      <c r="R31" s="236">
        <f>IFERROR(Taimekasvatus!X$38/Taimekasvatus!X$22,0)</f>
        <v>0</v>
      </c>
      <c r="S31" s="219" t="s">
        <v>1038</v>
      </c>
      <c r="T31" s="219">
        <f>Taimekasvatus!X39/1000</f>
        <v>0</v>
      </c>
      <c r="U31" s="236">
        <f>IFERROR(Taimekasvatus!X$40/Taimekasvatus!X$22,0)</f>
        <v>0</v>
      </c>
      <c r="V31" s="219" t="s">
        <v>1039</v>
      </c>
      <c r="W31" s="219">
        <f>Taimekasvatus!X$41/1000</f>
        <v>0</v>
      </c>
      <c r="X31" s="236">
        <f>IFERROR(Taimekasvatus!X$42/Taimekasvatus!X$22,0)</f>
        <v>0</v>
      </c>
      <c r="Y31" s="236"/>
      <c r="Z31" s="238" t="str">
        <f>Taimekasvatus!X24</f>
        <v>ei</v>
      </c>
    </row>
    <row r="32" spans="2:26" ht="23.5">
      <c r="B32" s="1352"/>
      <c r="C32" s="234" t="s">
        <v>1077</v>
      </c>
      <c r="D32" s="235">
        <f>Taimekasvatus!Y19</f>
        <v>0</v>
      </c>
      <c r="E32" s="219">
        <f>Taimekasvatus!Y22</f>
        <v>0</v>
      </c>
      <c r="F32" s="219">
        <f>Taimekasvatus!Y20</f>
        <v>0</v>
      </c>
      <c r="G32" s="236">
        <f>1-Taimekasvatus!Y23</f>
        <v>1</v>
      </c>
      <c r="H32" s="219"/>
      <c r="I32" s="359">
        <f>Taimekasvatus!Y26</f>
        <v>0</v>
      </c>
      <c r="J32" s="360">
        <f>Taimekasvatus!Y27</f>
        <v>0</v>
      </c>
      <c r="K32" s="219"/>
      <c r="L32" s="237">
        <f>Taimekasvatus!Y28</f>
        <v>0</v>
      </c>
      <c r="M32" s="219">
        <v>1</v>
      </c>
      <c r="N32" s="236">
        <f>Taimekasvatus!Y29</f>
        <v>0</v>
      </c>
      <c r="O32" s="238"/>
      <c r="P32" s="219" t="s">
        <v>1037</v>
      </c>
      <c r="Q32" s="219">
        <f>Taimekasvatus!Y37/1000</f>
        <v>0</v>
      </c>
      <c r="R32" s="236">
        <f>IFERROR(Taimekasvatus!Y$38/Taimekasvatus!Y$22,0)</f>
        <v>0</v>
      </c>
      <c r="S32" s="219" t="s">
        <v>1038</v>
      </c>
      <c r="T32" s="219">
        <f>Taimekasvatus!Y39/1000</f>
        <v>0</v>
      </c>
      <c r="U32" s="236">
        <f>IFERROR(Taimekasvatus!Y$40/Taimekasvatus!Y$22,0)</f>
        <v>0</v>
      </c>
      <c r="V32" s="219" t="s">
        <v>1039</v>
      </c>
      <c r="W32" s="219">
        <f>Taimekasvatus!Y$41/1000</f>
        <v>0</v>
      </c>
      <c r="X32" s="236">
        <f>IFERROR(Taimekasvatus!Y$42/Taimekasvatus!Y$22,0)</f>
        <v>0</v>
      </c>
      <c r="Y32" s="236"/>
      <c r="Z32" s="238" t="str">
        <f>Taimekasvatus!Y24</f>
        <v>ei</v>
      </c>
    </row>
    <row r="33" spans="2:26" ht="23.5">
      <c r="B33" s="1352"/>
      <c r="C33" s="234" t="s">
        <v>1078</v>
      </c>
      <c r="D33" s="239">
        <f>Taimekasvatus!Z19</f>
        <v>0</v>
      </c>
      <c r="E33" s="220">
        <f>Taimekasvatus!Z22</f>
        <v>0</v>
      </c>
      <c r="F33" s="220">
        <f>Taimekasvatus!Z20</f>
        <v>0</v>
      </c>
      <c r="G33" s="240">
        <f>1-Taimekasvatus!Z23</f>
        <v>1</v>
      </c>
      <c r="H33" s="219"/>
      <c r="I33" s="361">
        <f>Taimekasvatus!Z26</f>
        <v>0</v>
      </c>
      <c r="J33" s="362">
        <f>Taimekasvatus!Z27</f>
        <v>0</v>
      </c>
      <c r="K33" s="219"/>
      <c r="L33" s="241">
        <f>Taimekasvatus!Z28</f>
        <v>0</v>
      </c>
      <c r="M33" s="220">
        <v>1</v>
      </c>
      <c r="N33" s="240">
        <f>Taimekasvatus!Z29</f>
        <v>0</v>
      </c>
      <c r="O33" s="238"/>
      <c r="P33" s="239" t="s">
        <v>1037</v>
      </c>
      <c r="Q33" s="220">
        <f>Taimekasvatus!Z37/1000</f>
        <v>0</v>
      </c>
      <c r="R33" s="236">
        <f>IFERROR(Taimekasvatus!Z$38/Taimekasvatus!Z$38,0)</f>
        <v>0</v>
      </c>
      <c r="S33" s="1116" t="s">
        <v>1038</v>
      </c>
      <c r="T33" s="220">
        <f>Taimekasvatus!Z39/1000</f>
        <v>0</v>
      </c>
      <c r="U33" s="236">
        <f>IFERROR(Taimekasvatus!Z$40/Taimekasvatus!Z$22,0)</f>
        <v>0</v>
      </c>
      <c r="V33" s="1116" t="s">
        <v>1039</v>
      </c>
      <c r="W33" s="1116">
        <f>Taimekasvatus!Z$41/1000</f>
        <v>0</v>
      </c>
      <c r="X33" s="1117">
        <f>IFERROR(Taimekasvatus!Z$42/Taimekasvatus!Z$22,0)</f>
        <v>0</v>
      </c>
      <c r="Y33" s="238"/>
      <c r="Z33" s="242" t="str">
        <f>Taimekasvatus!Z24</f>
        <v>ei</v>
      </c>
    </row>
    <row r="34" spans="2:26" ht="23">
      <c r="B34" s="246"/>
      <c r="C34" s="218"/>
      <c r="D34" s="219"/>
      <c r="E34" s="219"/>
      <c r="F34" s="219"/>
      <c r="G34" s="219"/>
      <c r="H34" s="219"/>
      <c r="I34" s="219"/>
      <c r="J34" s="219"/>
      <c r="K34" s="219"/>
      <c r="L34" s="219"/>
      <c r="M34" s="219"/>
      <c r="N34" s="219"/>
      <c r="O34" s="219"/>
      <c r="P34" s="219"/>
      <c r="Q34" s="219"/>
      <c r="R34" s="243"/>
      <c r="S34" s="219"/>
      <c r="T34" s="219"/>
      <c r="U34" s="243"/>
      <c r="V34" s="219"/>
      <c r="W34" s="219"/>
      <c r="X34" s="219"/>
      <c r="Y34" s="219"/>
      <c r="Z34" s="219"/>
    </row>
    <row r="35" spans="2:26" ht="23.5" thickBot="1">
      <c r="B35" s="246"/>
      <c r="C35" s="218"/>
      <c r="D35" s="219"/>
      <c r="E35" s="219"/>
      <c r="F35" s="219"/>
      <c r="G35" s="219"/>
      <c r="H35" s="219"/>
      <c r="I35" s="219"/>
      <c r="J35" s="219"/>
      <c r="K35" s="219"/>
      <c r="L35" s="219"/>
      <c r="M35" s="219"/>
      <c r="N35" s="219"/>
      <c r="O35" s="219"/>
      <c r="P35" s="219"/>
      <c r="Q35" s="219"/>
      <c r="R35" s="219"/>
      <c r="S35" s="219"/>
      <c r="T35" s="219"/>
      <c r="U35" s="219"/>
      <c r="V35" s="219"/>
      <c r="W35" s="219"/>
      <c r="X35" s="219"/>
      <c r="Y35" s="219"/>
      <c r="Z35" s="219"/>
    </row>
    <row r="36" spans="2:26" ht="69">
      <c r="B36" s="246"/>
      <c r="C36" s="218"/>
      <c r="D36" s="216" t="s">
        <v>1040</v>
      </c>
      <c r="E36" s="227" t="s">
        <v>1041</v>
      </c>
      <c r="F36" s="227" t="s">
        <v>1079</v>
      </c>
      <c r="G36" s="228" t="s">
        <v>1080</v>
      </c>
      <c r="H36" s="226"/>
      <c r="I36" s="219"/>
      <c r="J36" s="219"/>
      <c r="K36" s="219"/>
      <c r="L36" s="219"/>
      <c r="M36" s="219"/>
      <c r="N36" s="219"/>
      <c r="O36" s="219"/>
      <c r="P36" s="231" t="s">
        <v>1049</v>
      </c>
      <c r="Q36" s="217" t="s">
        <v>1050</v>
      </c>
      <c r="R36" s="1130" t="s">
        <v>1051</v>
      </c>
      <c r="S36" s="217" t="s">
        <v>1052</v>
      </c>
      <c r="T36" s="217" t="s">
        <v>1053</v>
      </c>
      <c r="U36" s="1130" t="s">
        <v>1051</v>
      </c>
      <c r="V36" s="217" t="s">
        <v>1055</v>
      </c>
      <c r="W36" s="217" t="s">
        <v>1056</v>
      </c>
      <c r="X36" s="1130" t="s">
        <v>1051</v>
      </c>
      <c r="Y36" s="226"/>
      <c r="Z36" s="233" t="s">
        <v>1057</v>
      </c>
    </row>
    <row r="37" spans="2:26" ht="23.5">
      <c r="C37" s="244" t="s">
        <v>1081</v>
      </c>
      <c r="D37" s="387">
        <f>Taimekasvatus!AA19</f>
        <v>0</v>
      </c>
      <c r="E37" s="219">
        <f>Taimekasvatus!AA22</f>
        <v>0</v>
      </c>
      <c r="F37" s="219">
        <f>Taimekasvatus!AA20</f>
        <v>0</v>
      </c>
      <c r="G37" s="236">
        <f>1-Taimekasvatus!AA23</f>
        <v>1</v>
      </c>
      <c r="H37" s="219"/>
      <c r="I37" s="219"/>
      <c r="J37" s="219"/>
      <c r="K37" s="219"/>
      <c r="L37" s="219"/>
      <c r="M37" s="219"/>
      <c r="N37" s="219"/>
      <c r="O37" s="219"/>
      <c r="P37" s="235" t="s">
        <v>1037</v>
      </c>
      <c r="Q37" s="219">
        <f>Taimekasvatus!AA37/1000</f>
        <v>0</v>
      </c>
      <c r="R37" s="236">
        <f>IFERROR(Taimekasvatus!AA38/Taimekasvatus!AA22,0)</f>
        <v>0</v>
      </c>
      <c r="S37" s="219" t="s">
        <v>1038</v>
      </c>
      <c r="T37" s="219">
        <f>Taimekasvatus!AA39/1000</f>
        <v>0</v>
      </c>
      <c r="U37" s="388">
        <f>IFERROR(Taimekasvatus!AA40/Taimekasvatus!AA22,0)</f>
        <v>0</v>
      </c>
      <c r="V37" s="389" t="s">
        <v>1039</v>
      </c>
      <c r="W37" s="389">
        <f>Taimekasvatus!AA41/1000</f>
        <v>0</v>
      </c>
      <c r="X37" s="388">
        <f>IFERROR(Taimekasvatus!AA42/Taimekasvatus!AA22,0)</f>
        <v>0</v>
      </c>
      <c r="Y37" s="219"/>
      <c r="Z37" s="238" t="str">
        <f>Taimekasvatus!AA24</f>
        <v>ei</v>
      </c>
    </row>
    <row r="38" spans="2:26" ht="23.5">
      <c r="C38" s="244" t="s">
        <v>1082</v>
      </c>
      <c r="D38" s="387">
        <f>Taimekasvatus!AB19</f>
        <v>0</v>
      </c>
      <c r="E38" s="219">
        <f>Taimekasvatus!AB22</f>
        <v>0</v>
      </c>
      <c r="F38" s="219">
        <f>Taimekasvatus!AB20</f>
        <v>0</v>
      </c>
      <c r="G38" s="236">
        <f>1-Taimekasvatus!AB23</f>
        <v>1</v>
      </c>
      <c r="H38" s="219"/>
      <c r="I38" s="219"/>
      <c r="J38" s="219"/>
      <c r="K38" s="219"/>
      <c r="L38" s="219"/>
      <c r="M38" s="219"/>
      <c r="N38" s="219"/>
      <c r="O38" s="219"/>
      <c r="P38" s="235" t="s">
        <v>1037</v>
      </c>
      <c r="Q38" s="219">
        <f>Taimekasvatus!AB37/1000</f>
        <v>0</v>
      </c>
      <c r="R38" s="236">
        <f>IFERROR(Taimekasvatus!AB38/Taimekasvatus!AB22,0)</f>
        <v>0</v>
      </c>
      <c r="S38" s="219" t="s">
        <v>1038</v>
      </c>
      <c r="T38" s="219">
        <f>Taimekasvatus!AB39/1000</f>
        <v>0</v>
      </c>
      <c r="U38" s="388">
        <f>IFERROR(Taimekasvatus!AB40/Taimekasvatus!AB22,0)</f>
        <v>0</v>
      </c>
      <c r="V38" s="389" t="s">
        <v>1039</v>
      </c>
      <c r="W38" s="389">
        <f>Taimekasvatus!AB41/1000</f>
        <v>0</v>
      </c>
      <c r="X38" s="388">
        <f>IFERROR(Taimekasvatus!AB42/Taimekasvatus!AB22,0)</f>
        <v>0</v>
      </c>
      <c r="Y38" s="219"/>
      <c r="Z38" s="238" t="str">
        <f>Taimekasvatus!AB24</f>
        <v>ei</v>
      </c>
    </row>
    <row r="39" spans="2:26" ht="23.5">
      <c r="C39" s="244" t="s">
        <v>1083</v>
      </c>
      <c r="D39" s="387">
        <f>Taimekasvatus!AC19</f>
        <v>0</v>
      </c>
      <c r="E39" s="219">
        <f>Taimekasvatus!AC22</f>
        <v>0</v>
      </c>
      <c r="F39" s="219">
        <f>Taimekasvatus!AC20</f>
        <v>0</v>
      </c>
      <c r="G39" s="236">
        <f>1-Taimekasvatus!AC23</f>
        <v>1</v>
      </c>
      <c r="H39" s="219"/>
      <c r="I39" s="219"/>
      <c r="J39" s="219"/>
      <c r="K39" s="219"/>
      <c r="L39" s="219"/>
      <c r="M39" s="219"/>
      <c r="N39" s="219"/>
      <c r="O39" s="219"/>
      <c r="P39" s="235" t="s">
        <v>1037</v>
      </c>
      <c r="Q39" s="219">
        <f>Taimekasvatus!AC37/1000</f>
        <v>0</v>
      </c>
      <c r="R39" s="236">
        <f>IFERROR(Taimekasvatus!AC38/Taimekasvatus!AB22,0)</f>
        <v>0</v>
      </c>
      <c r="S39" s="219" t="s">
        <v>1038</v>
      </c>
      <c r="T39" s="219">
        <f>Taimekasvatus!AC39/1000</f>
        <v>0</v>
      </c>
      <c r="U39" s="388">
        <f>IFERROR(Taimekasvatus!AC40/Taimekasvatus!AC22,0)</f>
        <v>0</v>
      </c>
      <c r="V39" s="389" t="s">
        <v>1039</v>
      </c>
      <c r="W39" s="389">
        <f>Taimekasvatus!AC41/1000</f>
        <v>0</v>
      </c>
      <c r="X39" s="388">
        <f>IFERROR(Taimekasvatus!AC42/Taimekasvatus!AC22,0)</f>
        <v>0</v>
      </c>
      <c r="Y39" s="219"/>
      <c r="Z39" s="238" t="str">
        <f>Taimekasvatus!AC24</f>
        <v>ei</v>
      </c>
    </row>
    <row r="40" spans="2:26" ht="23.5">
      <c r="C40" s="244" t="s">
        <v>1084</v>
      </c>
      <c r="D40" s="387">
        <f>Taimekasvatus!AD19</f>
        <v>0</v>
      </c>
      <c r="E40" s="219">
        <f>Taimekasvatus!AD22</f>
        <v>0</v>
      </c>
      <c r="F40" s="219">
        <f>Taimekasvatus!AD20</f>
        <v>0</v>
      </c>
      <c r="G40" s="236">
        <f>1-Taimekasvatus!AD23</f>
        <v>1</v>
      </c>
      <c r="H40" s="219"/>
      <c r="I40" s="219"/>
      <c r="J40" s="219"/>
      <c r="K40" s="219"/>
      <c r="L40" s="219"/>
      <c r="M40" s="219"/>
      <c r="N40" s="219"/>
      <c r="O40" s="219"/>
      <c r="P40" s="235" t="s">
        <v>1037</v>
      </c>
      <c r="Q40" s="219">
        <f>Taimekasvatus!AD37/1000</f>
        <v>0</v>
      </c>
      <c r="R40" s="236">
        <f>IFERROR(Taimekasvatus!AD38/Taimekasvatus!AD22,0)</f>
        <v>0</v>
      </c>
      <c r="S40" s="219" t="s">
        <v>1038</v>
      </c>
      <c r="T40" s="219">
        <f>Taimekasvatus!AD39/1000</f>
        <v>0</v>
      </c>
      <c r="U40" s="388">
        <f>IFERROR(Taimekasvatus!AD40/Taimekasvatus!AD22,0)</f>
        <v>0</v>
      </c>
      <c r="V40" s="389" t="s">
        <v>1039</v>
      </c>
      <c r="W40" s="389">
        <f>Taimekasvatus!AD41/1000</f>
        <v>0</v>
      </c>
      <c r="X40" s="388">
        <f>IFERROR(Taimekasvatus!AD42/Taimekasvatus!AD22,0)</f>
        <v>0</v>
      </c>
      <c r="Y40" s="219"/>
      <c r="Z40" s="238" t="str">
        <f>Taimekasvatus!AD24</f>
        <v>ei</v>
      </c>
    </row>
    <row r="41" spans="2:26" ht="23.5">
      <c r="C41" s="244" t="s">
        <v>1085</v>
      </c>
      <c r="D41" s="387">
        <f>Taimekasvatus!AE19</f>
        <v>0</v>
      </c>
      <c r="E41" s="219">
        <f>Taimekasvatus!AE22</f>
        <v>0</v>
      </c>
      <c r="F41" s="219">
        <f>Taimekasvatus!AE20</f>
        <v>0</v>
      </c>
      <c r="G41" s="236">
        <f>1-Taimekasvatus!AE23</f>
        <v>1</v>
      </c>
      <c r="H41" s="219"/>
      <c r="I41" s="219"/>
      <c r="J41" s="219"/>
      <c r="K41" s="219"/>
      <c r="L41" s="219"/>
      <c r="M41" s="219"/>
      <c r="N41" s="219"/>
      <c r="O41" s="219"/>
      <c r="P41" s="235" t="s">
        <v>1037</v>
      </c>
      <c r="Q41" s="219">
        <f>Taimekasvatus!AE37/1000</f>
        <v>0</v>
      </c>
      <c r="R41" s="236">
        <f>IFERROR(Taimekasvatus!AE38/Taimekasvatus!AE22,0)</f>
        <v>0</v>
      </c>
      <c r="S41" s="219" t="s">
        <v>1038</v>
      </c>
      <c r="T41" s="219">
        <f>Taimekasvatus!AE39/1000</f>
        <v>0</v>
      </c>
      <c r="U41" s="388">
        <f>IFERROR(Taimekasvatus!AE40/Taimekasvatus!AE22,0)</f>
        <v>0</v>
      </c>
      <c r="V41" s="389" t="s">
        <v>1039</v>
      </c>
      <c r="W41" s="389">
        <f>Taimekasvatus!AE41/1000</f>
        <v>0</v>
      </c>
      <c r="X41" s="388">
        <f>IFERROR(Taimekasvatus!AE42/Taimekasvatus!AE22,0)</f>
        <v>0</v>
      </c>
      <c r="Y41" s="219"/>
      <c r="Z41" s="238" t="str">
        <f>Taimekasvatus!AE24</f>
        <v>ei</v>
      </c>
    </row>
    <row r="42" spans="2:26" ht="23.5">
      <c r="C42" s="244" t="s">
        <v>1086</v>
      </c>
      <c r="D42" s="387">
        <f>Taimekasvatus!AF19</f>
        <v>0</v>
      </c>
      <c r="E42" s="219">
        <f>Taimekasvatus!AF22</f>
        <v>0</v>
      </c>
      <c r="F42" s="219">
        <f>Taimekasvatus!AF20</f>
        <v>0</v>
      </c>
      <c r="G42" s="236">
        <f>1-Taimekasvatus!AF23</f>
        <v>1</v>
      </c>
      <c r="H42" s="219"/>
      <c r="I42" s="219"/>
      <c r="J42" s="219"/>
      <c r="K42" s="219"/>
      <c r="L42" s="219"/>
      <c r="M42" s="219"/>
      <c r="N42" s="219"/>
      <c r="O42" s="219"/>
      <c r="P42" s="235" t="s">
        <v>1037</v>
      </c>
      <c r="Q42" s="219">
        <f>Taimekasvatus!AF37/1000</f>
        <v>0</v>
      </c>
      <c r="R42" s="236">
        <f>IFERROR(Taimekasvatus!AF38/Taimekasvatus!AF22,0)</f>
        <v>0</v>
      </c>
      <c r="S42" s="219" t="s">
        <v>1038</v>
      </c>
      <c r="T42" s="219">
        <f>Taimekasvatus!AF39/1000</f>
        <v>0</v>
      </c>
      <c r="U42" s="388">
        <f>IFERROR(Taimekasvatus!AF40/Taimekasvatus!AF22,0)</f>
        <v>0</v>
      </c>
      <c r="V42" s="389" t="s">
        <v>1039</v>
      </c>
      <c r="W42" s="389">
        <f>Taimekasvatus!AF41/1000</f>
        <v>0</v>
      </c>
      <c r="X42" s="388">
        <f>IFERROR(Taimekasvatus!AF42/Taimekasvatus!AF22,0)</f>
        <v>0</v>
      </c>
      <c r="Y42" s="219"/>
      <c r="Z42" s="238" t="str">
        <f>Taimekasvatus!AF24</f>
        <v>ei</v>
      </c>
    </row>
    <row r="43" spans="2:26" ht="23.5">
      <c r="C43" s="244" t="s">
        <v>1087</v>
      </c>
      <c r="D43" s="387">
        <f>Taimekasvatus!AG19</f>
        <v>0</v>
      </c>
      <c r="E43" s="219">
        <f>Taimekasvatus!AG22</f>
        <v>0</v>
      </c>
      <c r="F43" s="219">
        <f>Taimekasvatus!AG20</f>
        <v>0</v>
      </c>
      <c r="G43" s="236">
        <f>1-Taimekasvatus!AG23</f>
        <v>1</v>
      </c>
      <c r="H43" s="219"/>
      <c r="I43" s="219"/>
      <c r="J43" s="219"/>
      <c r="K43" s="219"/>
      <c r="L43" s="219"/>
      <c r="M43" s="219"/>
      <c r="N43" s="219"/>
      <c r="O43" s="219"/>
      <c r="P43" s="235" t="s">
        <v>1037</v>
      </c>
      <c r="Q43" s="219">
        <f>Taimekasvatus!AG37/1000</f>
        <v>0</v>
      </c>
      <c r="R43" s="236">
        <f>IFERROR(Taimekasvatus!AG38/Taimekasvatus!AG22,0)</f>
        <v>0</v>
      </c>
      <c r="S43" s="219" t="s">
        <v>1038</v>
      </c>
      <c r="T43" s="219">
        <f>Taimekasvatus!AG39/1000</f>
        <v>0</v>
      </c>
      <c r="U43" s="388">
        <f>IFERROR(Taimekasvatus!AG40/Taimekasvatus!AG22,0)</f>
        <v>0</v>
      </c>
      <c r="V43" s="389" t="s">
        <v>1039</v>
      </c>
      <c r="W43" s="389">
        <f>Taimekasvatus!AG41/1000</f>
        <v>0</v>
      </c>
      <c r="X43" s="388">
        <f>IFERROR(Taimekasvatus!AG42/Taimekasvatus!AG22,0)</f>
        <v>0</v>
      </c>
      <c r="Y43" s="219"/>
      <c r="Z43" s="238" t="str">
        <f>Taimekasvatus!AG24</f>
        <v>ei</v>
      </c>
    </row>
    <row r="44" spans="2:26" ht="23.5">
      <c r="C44" s="244" t="s">
        <v>1088</v>
      </c>
      <c r="D44" s="387">
        <f>Taimekasvatus!AH19</f>
        <v>0</v>
      </c>
      <c r="E44" s="219">
        <f>Taimekasvatus!AH22</f>
        <v>0</v>
      </c>
      <c r="F44" s="219">
        <f>Taimekasvatus!AH20</f>
        <v>0</v>
      </c>
      <c r="G44" s="236">
        <f>1-Taimekasvatus!AH23</f>
        <v>1</v>
      </c>
      <c r="H44" s="219"/>
      <c r="I44" s="219"/>
      <c r="J44" s="219"/>
      <c r="K44" s="219"/>
      <c r="L44" s="219"/>
      <c r="M44" s="219"/>
      <c r="N44" s="219"/>
      <c r="O44" s="219"/>
      <c r="P44" s="235" t="s">
        <v>1037</v>
      </c>
      <c r="Q44" s="219">
        <f>Taimekasvatus!AH37/1000</f>
        <v>0</v>
      </c>
      <c r="R44" s="236">
        <f>IFERROR(Taimekasvatus!AH38/Taimekasvatus!AH22,0)</f>
        <v>0</v>
      </c>
      <c r="S44" s="219" t="s">
        <v>1038</v>
      </c>
      <c r="T44" s="219">
        <f>Taimekasvatus!AH39/1000</f>
        <v>0</v>
      </c>
      <c r="U44" s="388">
        <f>IFERROR(Taimekasvatus!AH40/Taimekasvatus!AH22,0)</f>
        <v>0</v>
      </c>
      <c r="V44" s="389" t="s">
        <v>1039</v>
      </c>
      <c r="W44" s="389">
        <f>Taimekasvatus!AH41/1000</f>
        <v>0</v>
      </c>
      <c r="X44" s="388">
        <f>IFERROR(Taimekasvatus!AH42/Taimekasvatus!AH22,0)</f>
        <v>0</v>
      </c>
      <c r="Y44" s="219"/>
      <c r="Z44" s="238" t="str">
        <f>Taimekasvatus!AH24</f>
        <v>ei</v>
      </c>
    </row>
    <row r="45" spans="2:26" ht="23.5">
      <c r="C45" s="244" t="s">
        <v>1089</v>
      </c>
      <c r="D45" s="387">
        <f>Taimekasvatus!AI19</f>
        <v>0</v>
      </c>
      <c r="E45" s="219">
        <f>Taimekasvatus!AI22</f>
        <v>0</v>
      </c>
      <c r="F45" s="219">
        <f>Taimekasvatus!AI20</f>
        <v>0</v>
      </c>
      <c r="G45" s="236">
        <f>1-Taimekasvatus!AI23</f>
        <v>1</v>
      </c>
      <c r="H45" s="219"/>
      <c r="I45" s="219"/>
      <c r="J45" s="219"/>
      <c r="K45" s="219"/>
      <c r="L45" s="219"/>
      <c r="M45" s="219"/>
      <c r="N45" s="219"/>
      <c r="O45" s="219"/>
      <c r="P45" s="235" t="s">
        <v>1037</v>
      </c>
      <c r="Q45" s="219">
        <f>Taimekasvatus!AI37/1000</f>
        <v>0</v>
      </c>
      <c r="R45" s="236">
        <f>IFERROR(Taimekasvatus!AI38/Taimekasvatus!AI22,0)</f>
        <v>0</v>
      </c>
      <c r="S45" s="219" t="s">
        <v>1038</v>
      </c>
      <c r="T45" s="219">
        <f>Taimekasvatus!AI39/1000</f>
        <v>0</v>
      </c>
      <c r="U45" s="388">
        <f>IFERROR(Taimekasvatus!AI40/Taimekasvatus!AI22,0)</f>
        <v>0</v>
      </c>
      <c r="V45" s="389" t="s">
        <v>1039</v>
      </c>
      <c r="W45" s="389">
        <f>Taimekasvatus!AI41/1000</f>
        <v>0</v>
      </c>
      <c r="X45" s="388">
        <f>IFERROR(Taimekasvatus!AI42/Taimekasvatus!AI22,0)</f>
        <v>0</v>
      </c>
      <c r="Y45" s="219"/>
      <c r="Z45" s="238" t="str">
        <f>Taimekasvatus!AI24</f>
        <v>ei</v>
      </c>
    </row>
    <row r="46" spans="2:26" ht="23.5">
      <c r="C46" s="244" t="s">
        <v>1090</v>
      </c>
      <c r="D46" s="387">
        <f>Taimekasvatus!AJ19</f>
        <v>0</v>
      </c>
      <c r="E46" s="219">
        <f>Taimekasvatus!AJ22</f>
        <v>0</v>
      </c>
      <c r="F46" s="219">
        <f>Taimekasvatus!AJ20</f>
        <v>0</v>
      </c>
      <c r="G46" s="236">
        <f>1-Taimekasvatus!AJ23</f>
        <v>1</v>
      </c>
      <c r="H46" s="219"/>
      <c r="I46" s="219"/>
      <c r="J46" s="219"/>
      <c r="K46" s="219"/>
      <c r="L46" s="219"/>
      <c r="M46" s="219"/>
      <c r="N46" s="219"/>
      <c r="O46" s="219"/>
      <c r="P46" s="235" t="s">
        <v>1037</v>
      </c>
      <c r="Q46" s="219">
        <f>Taimekasvatus!AJ37/1000</f>
        <v>0</v>
      </c>
      <c r="R46" s="236">
        <f>IFERROR(Taimekasvatus!AJ38/Taimekasvatus!AJ22,0)</f>
        <v>0</v>
      </c>
      <c r="S46" s="219" t="s">
        <v>1038</v>
      </c>
      <c r="T46" s="219">
        <f>Taimekasvatus!AJ39/1000</f>
        <v>0</v>
      </c>
      <c r="U46" s="388">
        <f>IFERROR(Taimekasvatus!AJ40/Taimekasvatus!AJ22,0)</f>
        <v>0</v>
      </c>
      <c r="V46" s="389" t="s">
        <v>1039</v>
      </c>
      <c r="W46" s="389">
        <f>Taimekasvatus!AJ41/1000</f>
        <v>0</v>
      </c>
      <c r="X46" s="388">
        <f>IFERROR(Taimekasvatus!AJ42/Taimekasvatus!AJ22,0)</f>
        <v>0</v>
      </c>
      <c r="Y46" s="219"/>
      <c r="Z46" s="238" t="str">
        <f>Taimekasvatus!AJ24</f>
        <v>ei</v>
      </c>
    </row>
    <row r="47" spans="2:26" ht="23.5">
      <c r="C47" s="244" t="s">
        <v>1091</v>
      </c>
      <c r="D47" s="387">
        <f>Taimekasvatus!AK19</f>
        <v>0</v>
      </c>
      <c r="E47" s="219">
        <f>Taimekasvatus!AK22</f>
        <v>0</v>
      </c>
      <c r="F47" s="219">
        <f>Taimekasvatus!AK20</f>
        <v>0</v>
      </c>
      <c r="G47" s="236">
        <f>1-Taimekasvatus!AK23</f>
        <v>1</v>
      </c>
      <c r="H47" s="219"/>
      <c r="I47" s="219"/>
      <c r="J47" s="219"/>
      <c r="K47" s="219"/>
      <c r="L47" s="219"/>
      <c r="M47" s="219"/>
      <c r="N47" s="219"/>
      <c r="O47" s="219"/>
      <c r="P47" s="235" t="s">
        <v>1037</v>
      </c>
      <c r="Q47" s="219">
        <f>Taimekasvatus!AK37/1000</f>
        <v>0</v>
      </c>
      <c r="R47" s="236">
        <f>IFERROR(Taimekasvatus!AK38/Taimekasvatus!AK22,0)</f>
        <v>0</v>
      </c>
      <c r="S47" s="219" t="s">
        <v>1038</v>
      </c>
      <c r="T47" s="219">
        <f>Taimekasvatus!AK39/1000</f>
        <v>0</v>
      </c>
      <c r="U47" s="388">
        <f>IFERROR(Taimekasvatus!AK40/Taimekasvatus!AK22,0)</f>
        <v>0</v>
      </c>
      <c r="V47" s="389" t="s">
        <v>1039</v>
      </c>
      <c r="W47" s="389">
        <f>Taimekasvatus!AK41/1000</f>
        <v>0</v>
      </c>
      <c r="X47" s="388">
        <f>IFERROR(Taimekasvatus!AK42/Taimekasvatus!AK22,0)</f>
        <v>0</v>
      </c>
      <c r="Y47" s="219"/>
      <c r="Z47" s="238" t="str">
        <f>Taimekasvatus!AK24</f>
        <v>ei</v>
      </c>
    </row>
    <row r="48" spans="2:26" ht="23.5">
      <c r="C48" s="244" t="s">
        <v>1092</v>
      </c>
      <c r="D48" s="387">
        <f>Taimekasvatus!AL19</f>
        <v>0</v>
      </c>
      <c r="E48" s="219">
        <f>Taimekasvatus!AL22</f>
        <v>0</v>
      </c>
      <c r="F48" s="219">
        <f>Taimekasvatus!AL20</f>
        <v>0</v>
      </c>
      <c r="G48" s="236">
        <f>1-Taimekasvatus!AL23</f>
        <v>1</v>
      </c>
      <c r="H48" s="219"/>
      <c r="I48" s="219"/>
      <c r="J48" s="219"/>
      <c r="K48" s="219"/>
      <c r="L48" s="219"/>
      <c r="M48" s="219"/>
      <c r="N48" s="219"/>
      <c r="O48" s="219"/>
      <c r="P48" s="235" t="s">
        <v>1037</v>
      </c>
      <c r="Q48" s="219">
        <f>Taimekasvatus!AL37/1000</f>
        <v>0</v>
      </c>
      <c r="R48" s="236">
        <f>IFERROR(Taimekasvatus!AL38/Taimekasvatus!AL22,0)</f>
        <v>0</v>
      </c>
      <c r="S48" s="219" t="s">
        <v>1038</v>
      </c>
      <c r="T48" s="219">
        <f>Taimekasvatus!AL39/1000</f>
        <v>0</v>
      </c>
      <c r="U48" s="388">
        <f>IFERROR(Taimekasvatus!AL40/Taimekasvatus!AL22,0)</f>
        <v>0</v>
      </c>
      <c r="V48" s="389" t="s">
        <v>1039</v>
      </c>
      <c r="W48" s="389">
        <f>Taimekasvatus!AL41/1000</f>
        <v>0</v>
      </c>
      <c r="X48" s="388">
        <f>IFERROR(Taimekasvatus!AL42/Taimekasvatus!AL22,0)</f>
        <v>0</v>
      </c>
      <c r="Y48" s="219"/>
      <c r="Z48" s="238" t="str">
        <f>Taimekasvatus!AL24</f>
        <v>ei</v>
      </c>
    </row>
    <row r="49" spans="3:26" ht="23.5">
      <c r="C49" s="244" t="s">
        <v>1093</v>
      </c>
      <c r="D49" s="387">
        <f>Taimekasvatus!AM19</f>
        <v>0</v>
      </c>
      <c r="E49" s="219">
        <f>Taimekasvatus!AM22</f>
        <v>0</v>
      </c>
      <c r="F49" s="219">
        <f>Taimekasvatus!AM20</f>
        <v>0</v>
      </c>
      <c r="G49" s="236">
        <f>1-Taimekasvatus!AM23</f>
        <v>1</v>
      </c>
      <c r="H49" s="219"/>
      <c r="I49" s="219"/>
      <c r="J49" s="219"/>
      <c r="K49" s="219"/>
      <c r="L49" s="219"/>
      <c r="M49" s="219"/>
      <c r="N49" s="219"/>
      <c r="O49" s="219"/>
      <c r="P49" s="235" t="s">
        <v>1037</v>
      </c>
      <c r="Q49" s="219">
        <f>Taimekasvatus!AM37/1000</f>
        <v>0</v>
      </c>
      <c r="R49" s="236">
        <f>IFERROR(Taimekasvatus!AM38/Taimekasvatus!AM22,0)</f>
        <v>0</v>
      </c>
      <c r="S49" s="219" t="s">
        <v>1038</v>
      </c>
      <c r="T49" s="219">
        <f>Taimekasvatus!AM39/1000</f>
        <v>0</v>
      </c>
      <c r="U49" s="388">
        <f>IFERROR(Taimekasvatus!AM40/Taimekasvatus!AM22,0)</f>
        <v>0</v>
      </c>
      <c r="V49" s="389" t="s">
        <v>1039</v>
      </c>
      <c r="W49" s="389">
        <f>Taimekasvatus!AM41/1000</f>
        <v>0</v>
      </c>
      <c r="X49" s="388">
        <f>IFERROR(Taimekasvatus!AM42/Taimekasvatus!AM22,0)</f>
        <v>0</v>
      </c>
      <c r="Y49" s="219"/>
      <c r="Z49" s="238" t="str">
        <f>Taimekasvatus!AM24</f>
        <v>ei</v>
      </c>
    </row>
    <row r="50" spans="3:26" ht="23.5">
      <c r="C50" s="244" t="s">
        <v>1094</v>
      </c>
      <c r="D50" s="387">
        <f>Taimekasvatus!AN19</f>
        <v>0</v>
      </c>
      <c r="E50" s="219">
        <f>Taimekasvatus!AN22</f>
        <v>0</v>
      </c>
      <c r="F50" s="219">
        <f>Taimekasvatus!AN20</f>
        <v>0</v>
      </c>
      <c r="G50" s="236">
        <f>1-Taimekasvatus!AN23</f>
        <v>1</v>
      </c>
      <c r="H50" s="219"/>
      <c r="I50" s="219"/>
      <c r="J50" s="219"/>
      <c r="K50" s="219"/>
      <c r="L50" s="219"/>
      <c r="M50" s="219"/>
      <c r="N50" s="219"/>
      <c r="O50" s="219"/>
      <c r="P50" s="235" t="s">
        <v>1037</v>
      </c>
      <c r="Q50" s="219">
        <f>Taimekasvatus!AN37/1000</f>
        <v>0</v>
      </c>
      <c r="R50" s="236">
        <f>IFERROR(Taimekasvatus!AN38/Taimekasvatus!AN22,0)</f>
        <v>0</v>
      </c>
      <c r="S50" s="219" t="s">
        <v>1038</v>
      </c>
      <c r="T50" s="219">
        <f>Taimekasvatus!AN39/1000</f>
        <v>0</v>
      </c>
      <c r="U50" s="388">
        <f>IFERROR(Taimekasvatus!AN40/Taimekasvatus!AN22,0)</f>
        <v>0</v>
      </c>
      <c r="V50" s="389" t="s">
        <v>1039</v>
      </c>
      <c r="W50" s="389">
        <f>Taimekasvatus!AN41/1000</f>
        <v>0</v>
      </c>
      <c r="X50" s="388">
        <f>IFERROR(Taimekasvatus!AN42/Taimekasvatus!AN22,0)</f>
        <v>0</v>
      </c>
      <c r="Y50" s="219"/>
      <c r="Z50" s="238" t="str">
        <f>Taimekasvatus!AN24</f>
        <v>ei</v>
      </c>
    </row>
    <row r="51" spans="3:26" ht="23.5">
      <c r="C51" s="244" t="s">
        <v>1095</v>
      </c>
      <c r="D51" s="387">
        <f>Taimekasvatus!AO19</f>
        <v>0</v>
      </c>
      <c r="E51" s="219">
        <f>Taimekasvatus!AO22</f>
        <v>0</v>
      </c>
      <c r="F51" s="219">
        <f>Taimekasvatus!AO20</f>
        <v>0</v>
      </c>
      <c r="G51" s="236">
        <f>1-Taimekasvatus!AO23</f>
        <v>1</v>
      </c>
      <c r="H51" s="219"/>
      <c r="I51" s="219"/>
      <c r="J51" s="219"/>
      <c r="K51" s="219"/>
      <c r="L51" s="219"/>
      <c r="M51" s="219"/>
      <c r="N51" s="219"/>
      <c r="O51" s="219"/>
      <c r="P51" s="235" t="s">
        <v>1037</v>
      </c>
      <c r="Q51" s="219">
        <f>Taimekasvatus!AO37/1000</f>
        <v>0</v>
      </c>
      <c r="R51" s="236">
        <f>IFERROR(Taimekasvatus!AO38/Taimekasvatus!AO22,0)</f>
        <v>0</v>
      </c>
      <c r="S51" s="219" t="s">
        <v>1038</v>
      </c>
      <c r="T51" s="219">
        <f>Taimekasvatus!AO39/1000</f>
        <v>0</v>
      </c>
      <c r="U51" s="388">
        <f>IFERROR(Taimekasvatus!AO40/Taimekasvatus!AO22,0)</f>
        <v>0</v>
      </c>
      <c r="V51" s="389" t="s">
        <v>1039</v>
      </c>
      <c r="W51" s="389">
        <f>Taimekasvatus!AO41/1000</f>
        <v>0</v>
      </c>
      <c r="X51" s="388">
        <f>IFERROR(Taimekasvatus!AO42/Taimekasvatus!AO22,0)</f>
        <v>0</v>
      </c>
      <c r="Y51" s="219"/>
      <c r="Z51" s="238" t="str">
        <f>Taimekasvatus!AO24</f>
        <v>ei</v>
      </c>
    </row>
    <row r="52" spans="3:26" ht="23.5">
      <c r="C52" s="244" t="s">
        <v>1096</v>
      </c>
      <c r="D52" s="387">
        <f>Taimekasvatus!AP19</f>
        <v>0</v>
      </c>
      <c r="E52" s="219">
        <f>Taimekasvatus!AP22</f>
        <v>0</v>
      </c>
      <c r="F52" s="219">
        <f>Taimekasvatus!AP20</f>
        <v>0</v>
      </c>
      <c r="G52" s="236">
        <f>1-Taimekasvatus!AP23</f>
        <v>1</v>
      </c>
      <c r="H52" s="219"/>
      <c r="I52" s="219"/>
      <c r="J52" s="219"/>
      <c r="K52" s="219"/>
      <c r="L52" s="219"/>
      <c r="M52" s="219"/>
      <c r="N52" s="219"/>
      <c r="O52" s="219"/>
      <c r="P52" s="235" t="s">
        <v>1037</v>
      </c>
      <c r="Q52" s="219">
        <f>Taimekasvatus!AP37/1000</f>
        <v>0</v>
      </c>
      <c r="R52" s="236">
        <f>IFERROR(Taimekasvatus!AP38/Taimekasvatus!AP22,0)</f>
        <v>0</v>
      </c>
      <c r="S52" s="219" t="s">
        <v>1038</v>
      </c>
      <c r="T52" s="219">
        <f>Taimekasvatus!AP39/1000</f>
        <v>0</v>
      </c>
      <c r="U52" s="388">
        <f>IFERROR(Taimekasvatus!AP40/Taimekasvatus!AP22,0)</f>
        <v>0</v>
      </c>
      <c r="V52" s="389" t="s">
        <v>1039</v>
      </c>
      <c r="W52" s="389">
        <f>Taimekasvatus!AP41/1000</f>
        <v>0</v>
      </c>
      <c r="X52" s="388">
        <f>IFERROR(Taimekasvatus!AP42/Taimekasvatus!AP22,0)</f>
        <v>0</v>
      </c>
      <c r="Y52" s="219"/>
      <c r="Z52" s="238" t="str">
        <f>Taimekasvatus!AP24</f>
        <v>ei</v>
      </c>
    </row>
    <row r="53" spans="3:26" ht="23.5">
      <c r="C53" s="244" t="s">
        <v>1097</v>
      </c>
      <c r="D53" s="387">
        <f>Taimekasvatus!AQ19</f>
        <v>0</v>
      </c>
      <c r="E53" s="219">
        <f>Taimekasvatus!AQ$22</f>
        <v>0</v>
      </c>
      <c r="F53" s="219">
        <f>Taimekasvatus!AQ20</f>
        <v>0</v>
      </c>
      <c r="G53" s="236">
        <f>1-Taimekasvatus!AQ23</f>
        <v>1</v>
      </c>
      <c r="H53" s="219"/>
      <c r="I53" s="219"/>
      <c r="J53" s="219"/>
      <c r="K53" s="219"/>
      <c r="L53" s="219"/>
      <c r="M53" s="219"/>
      <c r="N53" s="219"/>
      <c r="O53" s="219"/>
      <c r="P53" s="235" t="s">
        <v>1037</v>
      </c>
      <c r="Q53" s="219">
        <f>Taimekasvatus!AQ$37/1000</f>
        <v>0</v>
      </c>
      <c r="R53" s="236">
        <f>IFERROR(Taimekasvatus!AQ$38/Taimekasvatus!AQ$22,0)</f>
        <v>0</v>
      </c>
      <c r="S53" s="219" t="s">
        <v>1038</v>
      </c>
      <c r="T53" s="219">
        <f>Taimekasvatus!AQ39/1000</f>
        <v>0</v>
      </c>
      <c r="U53" s="388">
        <f>IFERROR(Taimekasvatus!AQ40/Taimekasvatus!AQ22,0)</f>
        <v>0</v>
      </c>
      <c r="V53" s="389" t="s">
        <v>1039</v>
      </c>
      <c r="W53" s="389">
        <f>Taimekasvatus!AQ$41/1000</f>
        <v>0</v>
      </c>
      <c r="X53" s="388">
        <f>IFERROR(Taimekasvatus!AQ$42/Taimekasvatus!AQ$22,0)</f>
        <v>0</v>
      </c>
      <c r="Y53" s="219"/>
      <c r="Z53" s="238" t="str">
        <f>Taimekasvatus!AQ$24</f>
        <v>ei</v>
      </c>
    </row>
    <row r="54" spans="3:26" ht="23.5">
      <c r="C54" s="244" t="s">
        <v>1098</v>
      </c>
      <c r="D54" s="387">
        <f>Taimekasvatus!AR19</f>
        <v>0</v>
      </c>
      <c r="E54" s="219">
        <f>Taimekasvatus!AR$22</f>
        <v>0</v>
      </c>
      <c r="F54" s="219">
        <f>Taimekasvatus!AR20</f>
        <v>0</v>
      </c>
      <c r="G54" s="1123">
        <f>1-Taimekasvatus!AR23</f>
        <v>1</v>
      </c>
      <c r="H54" s="219"/>
      <c r="I54" s="219"/>
      <c r="J54" s="219"/>
      <c r="K54" s="219"/>
      <c r="L54" s="219"/>
      <c r="M54" s="219"/>
      <c r="N54" s="219"/>
      <c r="O54" s="219"/>
      <c r="P54" s="235" t="s">
        <v>1037</v>
      </c>
      <c r="Q54" s="219">
        <f>Taimekasvatus!AR$37/1000</f>
        <v>0</v>
      </c>
      <c r="R54" s="236">
        <f>IFERROR(Taimekasvatus!AR$38/Taimekasvatus!AR$22,0)</f>
        <v>0</v>
      </c>
      <c r="S54" s="219" t="s">
        <v>1038</v>
      </c>
      <c r="T54" s="219">
        <f>Taimekasvatus!AR39/1000</f>
        <v>0</v>
      </c>
      <c r="U54" s="388">
        <f>IFERROR(Taimekasvatus!AR40/Taimekasvatus!AR22,0)</f>
        <v>0</v>
      </c>
      <c r="V54" s="389" t="s">
        <v>1039</v>
      </c>
      <c r="W54" s="389">
        <f>Taimekasvatus!AR$41/1000</f>
        <v>0</v>
      </c>
      <c r="X54" s="388">
        <f>IFERROR(Taimekasvatus!AR$42/Taimekasvatus!AR$22,0)</f>
        <v>0</v>
      </c>
      <c r="Y54" s="219"/>
      <c r="Z54" s="238" t="str">
        <f>Taimekasvatus!AR$24</f>
        <v>ei</v>
      </c>
    </row>
    <row r="55" spans="3:26" ht="23.5">
      <c r="C55" s="244" t="s">
        <v>1099</v>
      </c>
      <c r="D55" s="387">
        <f>Taimekasvatus!AS19</f>
        <v>0</v>
      </c>
      <c r="E55" s="219">
        <f>Taimekasvatus!AS$22</f>
        <v>0</v>
      </c>
      <c r="F55" s="219">
        <f>Taimekasvatus!AS20</f>
        <v>0</v>
      </c>
      <c r="G55" s="1123">
        <f>1-Taimekasvatus!AS23</f>
        <v>1</v>
      </c>
      <c r="H55" s="219"/>
      <c r="I55" s="219"/>
      <c r="J55" s="219"/>
      <c r="K55" s="219"/>
      <c r="L55" s="219"/>
      <c r="M55" s="219"/>
      <c r="N55" s="219"/>
      <c r="O55" s="219"/>
      <c r="P55" s="235" t="s">
        <v>1037</v>
      </c>
      <c r="Q55" s="219">
        <f>Taimekasvatus!AS$37/1000</f>
        <v>0</v>
      </c>
      <c r="R55" s="236">
        <f>IFERROR(Taimekasvatus!AS$38/Taimekasvatus!AS$22,0)</f>
        <v>0</v>
      </c>
      <c r="S55" s="219" t="s">
        <v>1038</v>
      </c>
      <c r="T55" s="219">
        <f>Taimekasvatus!AS39/1000</f>
        <v>0</v>
      </c>
      <c r="U55" s="388">
        <f>IFERROR(Taimekasvatus!AS40/Taimekasvatus!AS22,0)</f>
        <v>0</v>
      </c>
      <c r="V55" s="389" t="s">
        <v>1039</v>
      </c>
      <c r="W55" s="389">
        <f>Taimekasvatus!AS$41/1000</f>
        <v>0</v>
      </c>
      <c r="X55" s="388">
        <f>IFERROR(Taimekasvatus!AS$42/Taimekasvatus!AS$22,0)</f>
        <v>0</v>
      </c>
      <c r="Y55" s="219"/>
      <c r="Z55" s="238" t="str">
        <f>Taimekasvatus!AS$24</f>
        <v>ei</v>
      </c>
    </row>
    <row r="56" spans="3:26" ht="23.5">
      <c r="C56" s="1122" t="s">
        <v>1100</v>
      </c>
      <c r="D56" s="1121">
        <f>Taimekasvatus!AT19</f>
        <v>0</v>
      </c>
      <c r="E56" s="1116">
        <f>Taimekasvatus!AT$22</f>
        <v>0</v>
      </c>
      <c r="F56" s="1116">
        <f>Taimekasvatus!AT20</f>
        <v>0</v>
      </c>
      <c r="G56" s="1124">
        <f>1-Taimekasvatus!AT23</f>
        <v>1</v>
      </c>
      <c r="H56" s="219"/>
      <c r="I56" s="219"/>
      <c r="J56" s="219"/>
      <c r="K56" s="219"/>
      <c r="L56" s="219"/>
      <c r="M56" s="219"/>
      <c r="N56" s="219"/>
      <c r="O56" s="219"/>
      <c r="P56" s="1118" t="s">
        <v>1037</v>
      </c>
      <c r="Q56" s="1116">
        <f>Taimekasvatus!AT$37/1000</f>
        <v>0</v>
      </c>
      <c r="R56" s="1117">
        <f>IFERROR(Taimekasvatus!AT$38/Taimekasvatus!AT$22,0)</f>
        <v>0</v>
      </c>
      <c r="S56" s="1116" t="s">
        <v>1038</v>
      </c>
      <c r="T56" s="1116">
        <f>Taimekasvatus!AT$39/1000</f>
        <v>0</v>
      </c>
      <c r="U56" s="1119">
        <f>IFERROR(Taimekasvatus!AT$40/Taimekasvatus!AT$22,0)</f>
        <v>0</v>
      </c>
      <c r="V56" s="1120" t="s">
        <v>1039</v>
      </c>
      <c r="W56" s="1120">
        <f>Taimekasvatus!AT$41/1000</f>
        <v>0</v>
      </c>
      <c r="X56" s="1119">
        <f>IFERROR(Taimekasvatus!AT$42/Taimekasvatus!AT$22,0)</f>
        <v>0</v>
      </c>
      <c r="Y56" s="219"/>
      <c r="Z56" s="1125" t="str">
        <f>Taimekasvatus!AT$24</f>
        <v>ei</v>
      </c>
    </row>
    <row r="57" spans="3:26">
      <c r="D57" s="357"/>
    </row>
    <row r="58" spans="3:26">
      <c r="D58" s="357" cm="1">
        <f t="array" ref="D58">INDEX(Taimekasvatus!AA19:AQ19, 1, COLUMN()-COLUMN($A$1)+1)</f>
        <v>0</v>
      </c>
    </row>
    <row r="59" spans="3:26">
      <c r="D59" s="357"/>
    </row>
    <row r="60" spans="3:26">
      <c r="D60" s="357"/>
    </row>
    <row r="61" spans="3:26">
      <c r="D61" s="357"/>
    </row>
    <row r="62" spans="3:26">
      <c r="D62" s="357"/>
    </row>
    <row r="63" spans="3:26">
      <c r="D63" s="357"/>
    </row>
    <row r="64" spans="3:26">
      <c r="D64" s="357"/>
    </row>
    <row r="65" spans="4:4">
      <c r="D65" s="357"/>
    </row>
    <row r="66" spans="4:4">
      <c r="D66" s="357"/>
    </row>
    <row r="67" spans="4:4">
      <c r="D67" s="357"/>
    </row>
    <row r="68" spans="4:4">
      <c r="D68" s="357"/>
    </row>
    <row r="69" spans="4:4">
      <c r="D69" s="357"/>
    </row>
  </sheetData>
  <sheetProtection algorithmName="SHA-512" hashValue="olB175dS2gEmXsQ3Z12Quw1doByKVIUIaKCnPxHE7Xa5toPHMaXus+syn0ex2RqyCQUsjpA8AF6eQ+EjnZ2eOw==" saltValue="Hi9SYpBUF6fAHXmc7fmjAw==" spinCount="100000" sheet="1" objects="1" scenarios="1"/>
  <mergeCells count="1">
    <mergeCell ref="B14: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76608E518B58445A9C0D6EF65B7C045" ma:contentTypeVersion="17" ma:contentTypeDescription="Loo uus dokument" ma:contentTypeScope="" ma:versionID="69cffb66933e0f21b3c16636ec67a8b5">
  <xsd:schema xmlns:xsd="http://www.w3.org/2001/XMLSchema" xmlns:xs="http://www.w3.org/2001/XMLSchema" xmlns:p="http://schemas.microsoft.com/office/2006/metadata/properties" xmlns:ns2="78976f6a-a97d-41bc-a072-cc7f39708ae4" xmlns:ns3="c30c1423-b830-4a87-afd9-e1694abf8525" targetNamespace="http://schemas.microsoft.com/office/2006/metadata/properties" ma:root="true" ma:fieldsID="c16708b7842839f7759bea0c150fdf20" ns2:_="" ns3:_="">
    <xsd:import namespace="78976f6a-a97d-41bc-a072-cc7f39708ae4"/>
    <xsd:import namespace="c30c1423-b830-4a87-afd9-e1694abf852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976f6a-a97d-41bc-a072-cc7f39708a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Pildisildid" ma:readOnly="false" ma:fieldId="{5cf76f15-5ced-4ddc-b409-7134ff3c332f}" ma:taxonomyMulti="true" ma:sspId="c1abeff9-13c9-43b3-bc1b-12975828f7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c1423-b830-4a87-afd9-e1694abf8525" elementFormDefault="qualified">
    <xsd:import namespace="http://schemas.microsoft.com/office/2006/documentManagement/types"/>
    <xsd:import namespace="http://schemas.microsoft.com/office/infopath/2007/PartnerControls"/>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element name="TaxCatchAll" ma:index="23" nillable="true" ma:displayName="Taxonomy Catch All Column" ma:hidden="true" ma:list="{86442cdd-0e2d-42ce-8647-2c63645ceb98}" ma:internalName="TaxCatchAll" ma:showField="CatchAllData" ma:web="c30c1423-b830-4a87-afd9-e1694abf85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9 q Q R V z 6 K 6 3 u l A A A A 9 g A A A B I A H A B D b 2 5 m a W c v U G F j a 2 F n Z S 5 4 b W w g o h g A K K A U A A A A A A A A A A A A A A A A A A A A A A A A A A A A h Y 9 N C s I w G E S v U r J v / o o g 5 W s K u n B j Q R D E b Y i x D b a p N K n p 3 V x 4 J K 9 g R a v u X M 6 b t 5 i 5 X 2 + Q D 0 0 d X X T n T G s z x D B F k b a q P R h b Z q j 3 x 3 i O c g E b q U 6 y 1 N E o W 5 c O 7 p C h y v t z S k g I A Y c E t 1 1 J O K W M 7 I v 1 V l W 6 k e g j m / 9 y b K z z 0 i q N B O x e Y w T H j H E 8 4 w m m Q C Y I h b F f g Y 9 7 n + 0 P h G V f + 7 7 T Q t t 4 t Q A y R S D v D + I B U E s D B B Q A A g A I A P a k E 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2 p B F X K I p H u A 4 A A A A R A A A A E w A c A E Z v c m 1 1 b G F z L 1 N l Y 3 R p b 2 4 x L m 0 g o h g A K K A U A A A A A A A A A A A A A A A A A A A A A A A A A A A A K 0 5 N L s n M z 1 M I h t C G 1 g B Q S w E C L Q A U A A I A C A D 2 p B F X P o r r e 6 U A A A D 2 A A A A E g A A A A A A A A A A A A A A A A A A A A A A Q 2 9 u Z m l n L 1 B h Y 2 t h Z 2 U u e G 1 s U E s B A i 0 A F A A C A A g A 9 q Q R V w / K 6 a u k A A A A 6 Q A A A B M A A A A A A A A A A A A A A A A A 8 Q A A A F t D b 2 5 0 Z W 5 0 X 1 R 5 c G V z X S 5 4 b W x Q S w E C L Q A U A A I A C A D 2 p B F 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O W c F P Z y Z 3 k K N N w 7 I 8 5 c U I g A A A A A C A A A A A A A Q Z g A A A A E A A C A A A A B b a l K e C 6 L x U M e H s u i e 0 c r e b D H V N z 4 A d 9 s 9 A k q R F R e Y / A A A A A A O g A A A A A I A A C A A A A D s 6 J J m G 9 C 7 t O 7 Q a t 0 Y 8 M v c q y v z i E C T f b x g w L F s T t V r U V A A A A C d I / p D a u 2 M j A H 9 4 I i X J A U Z 7 B 2 5 7 e e I 1 / 6 t H U H 2 f B p E L y H 0 s 2 8 F 6 j O d K L p f i V V N e 7 8 E S Z g i 2 0 S r T A J l Z r O I 5 Y G w 1 6 N m l 4 G A n L 0 k N t k 9 x J 0 8 p 0 A A A A C H E C m Z 7 h / k Y L e p N u w k f 0 S P 9 S T 3 O J 6 9 r a R R w 9 k 4 x p d 2 d u n 4 9 o s K H 0 d / d r L w Y t x q 8 I U N b 9 o 1 6 v 4 3 G h K T D W V S g U P t < / 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8976f6a-a97d-41bc-a072-cc7f39708ae4">
      <Terms xmlns="http://schemas.microsoft.com/office/infopath/2007/PartnerControls"/>
    </lcf76f155ced4ddcb4097134ff3c332f>
    <TaxCatchAll xmlns="c30c1423-b830-4a87-afd9-e1694abf8525" xsi:nil="true"/>
  </documentManagement>
</p:properties>
</file>

<file path=customXml/itemProps1.xml><?xml version="1.0" encoding="utf-8"?>
<ds:datastoreItem xmlns:ds="http://schemas.openxmlformats.org/officeDocument/2006/customXml" ds:itemID="{E222AA05-0853-4836-964A-30EEB1625F5E}">
  <ds:schemaRefs>
    <ds:schemaRef ds:uri="http://schemas.microsoft.com/sharepoint/v3/contenttype/forms"/>
  </ds:schemaRefs>
</ds:datastoreItem>
</file>

<file path=customXml/itemProps2.xml><?xml version="1.0" encoding="utf-8"?>
<ds:datastoreItem xmlns:ds="http://schemas.openxmlformats.org/officeDocument/2006/customXml" ds:itemID="{27915EDE-5CB9-4B7E-9C0C-449EA01B4F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976f6a-a97d-41bc-a072-cc7f39708ae4"/>
    <ds:schemaRef ds:uri="c30c1423-b830-4a87-afd9-e1694abf85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22706C-906F-4F59-A8D8-C0E791559B32}">
  <ds:schemaRefs>
    <ds:schemaRef ds:uri="http://schemas.microsoft.com/DataMashup"/>
  </ds:schemaRefs>
</ds:datastoreItem>
</file>

<file path=customXml/itemProps4.xml><?xml version="1.0" encoding="utf-8"?>
<ds:datastoreItem xmlns:ds="http://schemas.openxmlformats.org/officeDocument/2006/customXml" ds:itemID="{91A1E116-468E-41D8-91A6-2BCF866E2B70}">
  <ds:schemaRefs>
    <ds:schemaRef ds:uri="http://schemas.microsoft.com/office/2006/documentManagement/types"/>
    <ds:schemaRef ds:uri="78976f6a-a97d-41bc-a072-cc7f39708ae4"/>
    <ds:schemaRef ds:uri="http://schemas.microsoft.com/office/2006/metadata/properties"/>
    <ds:schemaRef ds:uri="http://schemas.microsoft.com/office/infopath/2007/PartnerControls"/>
    <ds:schemaRef ds:uri="http://purl.org/dc/dcmitype/"/>
    <ds:schemaRef ds:uri="http://purl.org/dc/elements/1.1/"/>
    <ds:schemaRef ds:uri="http://schemas.openxmlformats.org/package/2006/metadata/core-properties"/>
    <ds:schemaRef ds:uri="c30c1423-b830-4a87-afd9-e1694abf852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Alusta siit</vt:lpstr>
      <vt:lpstr>Taimekasvatus</vt:lpstr>
      <vt:lpstr>Loomakasvatus</vt:lpstr>
      <vt:lpstr>Tugitegevused</vt:lpstr>
      <vt:lpstr>Ettevõttepõhine jalajälg</vt:lpstr>
      <vt:lpstr>Tootepõhine jalajälg</vt:lpstr>
      <vt:lpstr>Ettev_kalk</vt:lpstr>
      <vt:lpstr>Tootep_kalk</vt:lpstr>
      <vt:lpstr>C-sidumine</vt:lpstr>
      <vt:lpstr>C-taust</vt:lpstr>
      <vt:lpstr>SelgroogK</vt:lpstr>
      <vt:lpstr>M1 - TK</vt:lpstr>
      <vt:lpstr>M1 - LK</vt:lpstr>
      <vt:lpstr>EFid TK</vt:lpstr>
      <vt:lpstr>EFid</vt:lpstr>
      <vt:lpstr>Versioonide ajalugu</vt:lpstr>
      <vt:lpstr>Skeemid, loomakasvatuse arvutus</vt:lpstr>
      <vt:lpstr>Loomakasvatuse arvutused</vt:lpstr>
      <vt:lpstr>Taimekasvatuse arvutused</vt:lpstr>
      <vt:lpstr>Taimekasvatuse mõjuala 3</vt:lpstr>
      <vt:lpstr>Loomakasvatuse mõjuala 3</vt:lpstr>
      <vt:lpstr>Tugitegevus, energia, kütus jmt</vt:lpstr>
      <vt:lpstr>'Loomakasvatuse arvutused'!para9lg1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Sustinere</dc:creator>
  <cp:keywords/>
  <dc:description/>
  <cp:lastModifiedBy>Sandra Aasmäe</cp:lastModifiedBy>
  <cp:revision/>
  <cp:lastPrinted>2024-12-20T12:15:41Z</cp:lastPrinted>
  <dcterms:created xsi:type="dcterms:W3CDTF">2023-07-21T08:59:29Z</dcterms:created>
  <dcterms:modified xsi:type="dcterms:W3CDTF">2026-07-24T09:38:19Z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0x010100776608E518B58445A9C0D6EF65B7C045</vt:lpwstr>
  </property>
  <property fmtid="{D5CDD505-2E9C-101B-9397-08002B2CF9AE}" pid="3" name="MediaServiceImageTags">
    <vt:lpwstr/>
  </property>
</Properties>
</file>